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6815" windowHeight="7020" tabRatio="920"/>
  </bookViews>
  <sheets>
    <sheet name="Vital Information" sheetId="11" r:id="rId1"/>
    <sheet name="Search terms" sheetId="10" r:id="rId2"/>
    <sheet name="Amparo 1858-1891" sheetId="2" r:id="rId3"/>
    <sheet name="Araraquara 1836-1889" sheetId="8" r:id="rId4"/>
    <sheet name="Campinas 1835-1888" sheetId="6" r:id="rId5"/>
    <sheet name="Franca 1835-1890" sheetId="4" r:id="rId6"/>
    <sheet name="Ribeirao Preto 1879-1886" sheetId="5" r:id="rId7"/>
    <sheet name="Rio Claro 1846-1890" sheetId="9" r:id="rId8"/>
    <sheet name="Sao Carlos 1865-1887" sheetId="7" r:id="rId9"/>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54" i="7" l="1"/>
  <c r="W52" i="7"/>
  <c r="D14" i="7"/>
  <c r="N56" i="7"/>
  <c r="N120" i="7" s="1"/>
  <c r="N122" i="7" s="1"/>
  <c r="M56" i="7"/>
  <c r="M120" i="7" s="1"/>
  <c r="M122" i="7" s="1"/>
  <c r="L56" i="7"/>
  <c r="L120" i="7" s="1"/>
  <c r="L122" i="7" s="1"/>
  <c r="K56" i="7"/>
  <c r="K120" i="7" s="1"/>
  <c r="K122" i="7" s="1"/>
  <c r="J56" i="7"/>
  <c r="J120" i="7" s="1"/>
  <c r="J122" i="7" s="1"/>
  <c r="I56" i="7"/>
  <c r="I120" i="7" s="1"/>
  <c r="I122" i="7" s="1"/>
  <c r="Y116" i="7"/>
  <c r="Y118" i="7" s="1"/>
  <c r="X116" i="7"/>
  <c r="X118" i="7" s="1"/>
  <c r="V116" i="7"/>
  <c r="V118" i="7" s="1"/>
  <c r="U116" i="7"/>
  <c r="U118" i="7" s="1"/>
  <c r="S116" i="7"/>
  <c r="S118" i="7" s="1"/>
  <c r="R116" i="7"/>
  <c r="R118" i="7" s="1"/>
  <c r="P116" i="7"/>
  <c r="P118" i="7" s="1"/>
  <c r="O116" i="7"/>
  <c r="O118" i="7" s="1"/>
  <c r="H116" i="7"/>
  <c r="H118" i="7" s="1"/>
  <c r="G116" i="7"/>
  <c r="G118" i="7" s="1"/>
  <c r="F116" i="7"/>
  <c r="F118" i="7" s="1"/>
  <c r="E116" i="7"/>
  <c r="E118" i="7" s="1"/>
  <c r="C116" i="7"/>
  <c r="W114" i="7"/>
  <c r="W116" i="7" s="1"/>
  <c r="W118" i="7" s="1"/>
  <c r="D114" i="7"/>
  <c r="D113" i="7"/>
  <c r="D112" i="7"/>
  <c r="D110" i="7"/>
  <c r="D105" i="7"/>
  <c r="D104" i="7"/>
  <c r="D108" i="7"/>
  <c r="D107" i="7"/>
  <c r="Q106" i="7"/>
  <c r="D106" i="7"/>
  <c r="D103" i="7"/>
  <c r="D102" i="7"/>
  <c r="D99" i="7"/>
  <c r="D98" i="7"/>
  <c r="T94" i="7"/>
  <c r="D94" i="7"/>
  <c r="D92" i="7"/>
  <c r="D93" i="7"/>
  <c r="D91" i="7"/>
  <c r="D96" i="7"/>
  <c r="D97" i="7"/>
  <c r="D95" i="7"/>
  <c r="D90" i="7"/>
  <c r="D87" i="7"/>
  <c r="D88" i="7"/>
  <c r="D86" i="7"/>
  <c r="D89" i="7"/>
  <c r="D101" i="7"/>
  <c r="D82" i="7"/>
  <c r="D84" i="7"/>
  <c r="D81" i="7"/>
  <c r="D80" i="7"/>
  <c r="D83" i="7"/>
  <c r="D79" i="7"/>
  <c r="D78" i="7"/>
  <c r="B77" i="7"/>
  <c r="D77" i="7" s="1"/>
  <c r="D73" i="7"/>
  <c r="D76" i="7"/>
  <c r="D72" i="7"/>
  <c r="D74" i="7"/>
  <c r="D75" i="7"/>
  <c r="D70" i="7"/>
  <c r="D71" i="7"/>
  <c r="D69" i="7"/>
  <c r="D67" i="7"/>
  <c r="S54" i="7"/>
  <c r="S56" i="7" s="1"/>
  <c r="S120" i="7" s="1"/>
  <c r="S122" i="7" s="1"/>
  <c r="R54" i="7"/>
  <c r="R56" i="7" s="1"/>
  <c r="R120" i="7" s="1"/>
  <c r="Q54" i="7"/>
  <c r="Q56" i="7" s="1"/>
  <c r="Q120" i="7" s="1"/>
  <c r="P54" i="7"/>
  <c r="P56" i="7" s="1"/>
  <c r="P120" i="7" s="1"/>
  <c r="O54" i="7"/>
  <c r="O56" i="7" s="1"/>
  <c r="O120" i="7" s="1"/>
  <c r="H54" i="7"/>
  <c r="H56" i="7" s="1"/>
  <c r="H120" i="7" s="1"/>
  <c r="G54" i="7"/>
  <c r="G56" i="7" s="1"/>
  <c r="G120" i="7" s="1"/>
  <c r="G122" i="7" s="1"/>
  <c r="F54" i="7"/>
  <c r="F56" i="7" s="1"/>
  <c r="F120" i="7" s="1"/>
  <c r="C54" i="7"/>
  <c r="C56" i="7" s="1"/>
  <c r="C120" i="7" s="1"/>
  <c r="B54" i="7"/>
  <c r="B56" i="7" s="1"/>
  <c r="B120" i="7" s="1"/>
  <c r="D53" i="7"/>
  <c r="D51" i="7"/>
  <c r="D50" i="7"/>
  <c r="D49" i="7"/>
  <c r="D48" i="7"/>
  <c r="D47" i="7"/>
  <c r="D46" i="7"/>
  <c r="D45" i="7"/>
  <c r="D44" i="7"/>
  <c r="D33" i="7"/>
  <c r="D43" i="7"/>
  <c r="D42" i="7"/>
  <c r="D39" i="7"/>
  <c r="D38" i="7"/>
  <c r="V35" i="7"/>
  <c r="D35" i="7"/>
  <c r="D41" i="7"/>
  <c r="Y40" i="7"/>
  <c r="Y54" i="7" s="1"/>
  <c r="Y56" i="7" s="1"/>
  <c r="Y120" i="7" s="1"/>
  <c r="X40" i="7"/>
  <c r="X54" i="7" s="1"/>
  <c r="X56" i="7" s="1"/>
  <c r="X120" i="7" s="1"/>
  <c r="V40" i="7"/>
  <c r="D40" i="7"/>
  <c r="D24" i="7"/>
  <c r="D37" i="7"/>
  <c r="D36" i="7"/>
  <c r="D34" i="7"/>
  <c r="V32" i="7"/>
  <c r="D32" i="7"/>
  <c r="U31" i="7"/>
  <c r="T31" i="7"/>
  <c r="D31" i="7"/>
  <c r="D30" i="7"/>
  <c r="D29" i="7"/>
  <c r="D28" i="7"/>
  <c r="D19" i="7"/>
  <c r="D27" i="7"/>
  <c r="D26" i="7"/>
  <c r="D25" i="7"/>
  <c r="U23" i="7"/>
  <c r="T23" i="7"/>
  <c r="D23" i="7"/>
  <c r="D22" i="7"/>
  <c r="V21" i="7"/>
  <c r="D21" i="7"/>
  <c r="D20" i="7"/>
  <c r="D18" i="7"/>
  <c r="D17" i="7"/>
  <c r="D16" i="7"/>
  <c r="D15" i="7"/>
  <c r="E12" i="7"/>
  <c r="E54" i="7" s="1"/>
  <c r="E56" i="7" s="1"/>
  <c r="E120" i="7" s="1"/>
  <c r="D12" i="7"/>
  <c r="V13" i="7"/>
  <c r="D13" i="7"/>
  <c r="D11" i="7"/>
  <c r="D10" i="7"/>
  <c r="D8" i="7"/>
  <c r="AP106" i="9"/>
  <c r="AP192" i="9" s="1"/>
  <c r="AA106" i="9"/>
  <c r="AA192" i="9" s="1"/>
  <c r="E106" i="9"/>
  <c r="E192" i="9" s="1"/>
  <c r="AA190" i="9"/>
  <c r="E190" i="9"/>
  <c r="D190" i="9"/>
  <c r="L188" i="9"/>
  <c r="K188" i="9"/>
  <c r="F188" i="9"/>
  <c r="AS185" i="9"/>
  <c r="AS190" i="9" s="1"/>
  <c r="AR185" i="9"/>
  <c r="AR190" i="9" s="1"/>
  <c r="AQ185" i="9"/>
  <c r="AQ190" i="9" s="1"/>
  <c r="AP185" i="9"/>
  <c r="AP190" i="9" s="1"/>
  <c r="AO185" i="9"/>
  <c r="AO190" i="9" s="1"/>
  <c r="AM185" i="9"/>
  <c r="AM190" i="9" s="1"/>
  <c r="AL185" i="9"/>
  <c r="AL190" i="9" s="1"/>
  <c r="AK185" i="9"/>
  <c r="AK190" i="9" s="1"/>
  <c r="AJ185" i="9"/>
  <c r="AJ190" i="9" s="1"/>
  <c r="AI185" i="9"/>
  <c r="AI190" i="9" s="1"/>
  <c r="AH185" i="9"/>
  <c r="AH190" i="9" s="1"/>
  <c r="AG185" i="9"/>
  <c r="AG190" i="9" s="1"/>
  <c r="AF185" i="9"/>
  <c r="AF190" i="9" s="1"/>
  <c r="AE185" i="9"/>
  <c r="AE190" i="9" s="1"/>
  <c r="AD185" i="9"/>
  <c r="AD190" i="9" s="1"/>
  <c r="AC185" i="9"/>
  <c r="AC190" i="9" s="1"/>
  <c r="Z185" i="9"/>
  <c r="Z190" i="9" s="1"/>
  <c r="Y185" i="9"/>
  <c r="Y190" i="9" s="1"/>
  <c r="X185" i="9"/>
  <c r="X190" i="9" s="1"/>
  <c r="W185" i="9"/>
  <c r="W190" i="9" s="1"/>
  <c r="V185" i="9"/>
  <c r="V190" i="9" s="1"/>
  <c r="R185" i="9"/>
  <c r="R190" i="9" s="1"/>
  <c r="P185" i="9"/>
  <c r="P190" i="9" s="1"/>
  <c r="O185" i="9"/>
  <c r="O190" i="9" s="1"/>
  <c r="L185" i="9"/>
  <c r="L190" i="9" s="1"/>
  <c r="I185" i="9"/>
  <c r="I190" i="9" s="1"/>
  <c r="C185" i="9"/>
  <c r="C190" i="9" s="1"/>
  <c r="B185" i="9"/>
  <c r="B190" i="9" s="1"/>
  <c r="K174" i="9"/>
  <c r="G170" i="9"/>
  <c r="AB154" i="9"/>
  <c r="AB185" i="9" s="1"/>
  <c r="AB190" i="9" s="1"/>
  <c r="U154" i="9"/>
  <c r="T154" i="9"/>
  <c r="S154" i="9"/>
  <c r="K154" i="9"/>
  <c r="J154" i="9"/>
  <c r="H154" i="9"/>
  <c r="G154" i="9"/>
  <c r="G185" i="9" s="1"/>
  <c r="G190" i="9" s="1"/>
  <c r="F154" i="9"/>
  <c r="H159" i="9"/>
  <c r="AT162" i="9"/>
  <c r="U142" i="9"/>
  <c r="T142" i="9"/>
  <c r="S137" i="9"/>
  <c r="J143" i="9"/>
  <c r="Q131" i="9"/>
  <c r="Q185" i="9" s="1"/>
  <c r="Q190" i="9" s="1"/>
  <c r="N131" i="9"/>
  <c r="M131" i="9"/>
  <c r="M185" i="9" s="1"/>
  <c r="M190" i="9" s="1"/>
  <c r="AN124" i="9"/>
  <c r="AS104" i="9"/>
  <c r="AS106" i="9" s="1"/>
  <c r="AS192" i="9" s="1"/>
  <c r="AQ104" i="9"/>
  <c r="AQ106" i="9" s="1"/>
  <c r="AQ192" i="9" s="1"/>
  <c r="AL104" i="9"/>
  <c r="AL106" i="9" s="1"/>
  <c r="AL192" i="9" s="1"/>
  <c r="AE104" i="9"/>
  <c r="AE106" i="9" s="1"/>
  <c r="AE192" i="9" s="1"/>
  <c r="AC104" i="9"/>
  <c r="AC106" i="9" s="1"/>
  <c r="AC192" i="9" s="1"/>
  <c r="Z104" i="9"/>
  <c r="Z106" i="9" s="1"/>
  <c r="Z192" i="9" s="1"/>
  <c r="X104" i="9"/>
  <c r="X106" i="9" s="1"/>
  <c r="X192" i="9" s="1"/>
  <c r="W104" i="9"/>
  <c r="W106" i="9" s="1"/>
  <c r="W192" i="9" s="1"/>
  <c r="V104" i="9"/>
  <c r="V106" i="9" s="1"/>
  <c r="V192" i="9" s="1"/>
  <c r="R104" i="9"/>
  <c r="R106" i="9" s="1"/>
  <c r="R192" i="9" s="1"/>
  <c r="Q104" i="9"/>
  <c r="Q106" i="9" s="1"/>
  <c r="Q192" i="9" s="1"/>
  <c r="P104" i="9"/>
  <c r="P106" i="9" s="1"/>
  <c r="P192" i="9" s="1"/>
  <c r="O104" i="9"/>
  <c r="O106" i="9" s="1"/>
  <c r="O192" i="9" s="1"/>
  <c r="N104" i="9"/>
  <c r="N106" i="9" s="1"/>
  <c r="N192" i="9" s="1"/>
  <c r="J104" i="9"/>
  <c r="J106" i="9" s="1"/>
  <c r="J192" i="9" s="1"/>
  <c r="I104" i="9"/>
  <c r="I106" i="9" s="1"/>
  <c r="I192" i="9" s="1"/>
  <c r="H104" i="9"/>
  <c r="H106" i="9" s="1"/>
  <c r="H192" i="9" s="1"/>
  <c r="G104" i="9"/>
  <c r="G106" i="9" s="1"/>
  <c r="G192" i="9" s="1"/>
  <c r="D104" i="9"/>
  <c r="D106" i="9" s="1"/>
  <c r="D192" i="9" s="1"/>
  <c r="U100" i="9"/>
  <c r="U104" i="9" s="1"/>
  <c r="U106" i="9" s="1"/>
  <c r="U192" i="9" s="1"/>
  <c r="T100" i="9"/>
  <c r="T104" i="9" s="1"/>
  <c r="T106" i="9" s="1"/>
  <c r="T192" i="9" s="1"/>
  <c r="S100" i="9"/>
  <c r="S104" i="9" s="1"/>
  <c r="S106" i="9" s="1"/>
  <c r="S192" i="9" s="1"/>
  <c r="Y97" i="9"/>
  <c r="Y104" i="9" s="1"/>
  <c r="Y106" i="9" s="1"/>
  <c r="Y192" i="9" s="1"/>
  <c r="M97" i="9"/>
  <c r="M104" i="9" s="1"/>
  <c r="M106" i="9" s="1"/>
  <c r="M192" i="9" s="1"/>
  <c r="AI95" i="9"/>
  <c r="AI104" i="9" s="1"/>
  <c r="AI106" i="9" s="1"/>
  <c r="AI192" i="9" s="1"/>
  <c r="AK92" i="9"/>
  <c r="L88" i="9"/>
  <c r="L104" i="9" s="1"/>
  <c r="L106" i="9" s="1"/>
  <c r="L192" i="9" s="1"/>
  <c r="K88" i="9"/>
  <c r="K104" i="9" s="1"/>
  <c r="K106" i="9" s="1"/>
  <c r="K192" i="9" s="1"/>
  <c r="F88" i="9"/>
  <c r="AH83" i="9"/>
  <c r="AN59" i="9"/>
  <c r="AH59" i="9"/>
  <c r="AH36" i="9"/>
  <c r="AJ79" i="9"/>
  <c r="AO77" i="9"/>
  <c r="AM77" i="9"/>
  <c r="AH77" i="9"/>
  <c r="AT74" i="9"/>
  <c r="AR74" i="9"/>
  <c r="AT71" i="9"/>
  <c r="AR71" i="9"/>
  <c r="AN71" i="9"/>
  <c r="AT65" i="9"/>
  <c r="AR65" i="9"/>
  <c r="AJ61" i="9"/>
  <c r="AF61" i="9"/>
  <c r="AF104" i="9" s="1"/>
  <c r="AF106" i="9" s="1"/>
  <c r="AF192" i="9" s="1"/>
  <c r="AD61" i="9"/>
  <c r="AD104" i="9" s="1"/>
  <c r="AD106" i="9" s="1"/>
  <c r="AD192" i="9" s="1"/>
  <c r="AB61" i="9"/>
  <c r="F61" i="9"/>
  <c r="C61" i="9"/>
  <c r="C104" i="9" s="1"/>
  <c r="C106" i="9" s="1"/>
  <c r="C192" i="9" s="1"/>
  <c r="C194" i="9" s="1"/>
  <c r="B61" i="9"/>
  <c r="B104" i="9" s="1"/>
  <c r="B106" i="9" s="1"/>
  <c r="B192" i="9" s="1"/>
  <c r="B194" i="9" s="1"/>
  <c r="AR60" i="9"/>
  <c r="AO60" i="9"/>
  <c r="AN60" i="9"/>
  <c r="AM60" i="9"/>
  <c r="AK60" i="9"/>
  <c r="AJ60" i="9"/>
  <c r="AH60" i="9"/>
  <c r="AG60" i="9"/>
  <c r="AG104" i="9" s="1"/>
  <c r="AG106" i="9" s="1"/>
  <c r="AG192" i="9" s="1"/>
  <c r="AG194" i="9" s="1"/>
  <c r="AB60" i="9"/>
  <c r="AB104" i="9" s="1"/>
  <c r="AB106" i="9" s="1"/>
  <c r="AB192" i="9" s="1"/>
  <c r="AT55" i="9"/>
  <c r="AR55" i="9"/>
  <c r="AO55" i="9"/>
  <c r="AM55" i="9"/>
  <c r="AT51" i="9"/>
  <c r="AT49" i="9"/>
  <c r="AR48" i="9"/>
  <c r="AO48" i="9"/>
  <c r="AN48" i="9"/>
  <c r="AM48" i="9"/>
  <c r="AT45" i="9"/>
  <c r="AR45" i="9"/>
  <c r="AO41" i="9"/>
  <c r="AN41" i="9"/>
  <c r="AM41" i="9"/>
  <c r="AO38" i="9"/>
  <c r="AT37" i="9"/>
  <c r="AK37" i="9"/>
  <c r="AH37" i="9"/>
  <c r="AT35" i="9"/>
  <c r="AT28" i="9"/>
  <c r="AR28" i="9"/>
  <c r="AO28" i="9"/>
  <c r="AN28" i="9"/>
  <c r="AM28" i="9"/>
  <c r="AK28" i="9"/>
  <c r="AH28" i="9"/>
  <c r="AO22" i="9"/>
  <c r="AM22" i="9"/>
  <c r="AK22" i="9"/>
  <c r="AK53" i="9"/>
  <c r="AR11" i="9"/>
  <c r="E94" i="5"/>
  <c r="E92" i="5"/>
  <c r="BF213" i="6"/>
  <c r="BE213" i="6"/>
  <c r="BB213" i="6"/>
  <c r="BB215" i="6" s="1"/>
  <c r="BA213" i="6"/>
  <c r="BA215" i="6" s="1"/>
  <c r="AZ213" i="6"/>
  <c r="AZ215" i="6" s="1"/>
  <c r="AX213" i="6"/>
  <c r="AX215" i="6" s="1"/>
  <c r="AW213" i="6"/>
  <c r="AW215" i="6" s="1"/>
  <c r="AV213" i="6"/>
  <c r="AV215" i="6" s="1"/>
  <c r="AT213" i="6"/>
  <c r="AT215" i="6" s="1"/>
  <c r="AS213" i="6"/>
  <c r="AS215" i="6" s="1"/>
  <c r="AR213" i="6"/>
  <c r="AR215" i="6" s="1"/>
  <c r="AQ213" i="6"/>
  <c r="AQ215" i="6" s="1"/>
  <c r="AP213" i="6"/>
  <c r="AP215" i="6" s="1"/>
  <c r="AO213" i="6"/>
  <c r="AO215" i="6" s="1"/>
  <c r="AN213" i="6"/>
  <c r="AN215" i="6" s="1"/>
  <c r="AM213" i="6"/>
  <c r="AM215" i="6" s="1"/>
  <c r="AF213" i="6"/>
  <c r="AF215" i="6" s="1"/>
  <c r="AD213" i="6"/>
  <c r="AD215" i="6" s="1"/>
  <c r="AB213" i="6"/>
  <c r="AB215" i="6" s="1"/>
  <c r="AA213" i="6"/>
  <c r="AA215" i="6" s="1"/>
  <c r="W213" i="6"/>
  <c r="W215" i="6" s="1"/>
  <c r="Q213" i="6"/>
  <c r="Q215" i="6" s="1"/>
  <c r="P213" i="6"/>
  <c r="P215" i="6" s="1"/>
  <c r="O213" i="6"/>
  <c r="O215" i="6" s="1"/>
  <c r="N213" i="6"/>
  <c r="N215" i="6" s="1"/>
  <c r="L213" i="6"/>
  <c r="L215" i="6" s="1"/>
  <c r="D213" i="6"/>
  <c r="C213" i="6"/>
  <c r="S209" i="6"/>
  <c r="J200" i="6"/>
  <c r="S191" i="6"/>
  <c r="S190" i="6"/>
  <c r="R189" i="6"/>
  <c r="G193" i="6"/>
  <c r="E193" i="6"/>
  <c r="E213" i="6" s="1"/>
  <c r="E215" i="6" s="1"/>
  <c r="AU194" i="6"/>
  <c r="BD197" i="6"/>
  <c r="BC197" i="6"/>
  <c r="S175" i="6"/>
  <c r="S171" i="6"/>
  <c r="K171" i="6"/>
  <c r="G171" i="6"/>
  <c r="T165" i="6"/>
  <c r="B176" i="6"/>
  <c r="U155" i="6"/>
  <c r="S155" i="6"/>
  <c r="G155" i="6"/>
  <c r="AK150" i="6"/>
  <c r="AL148" i="6"/>
  <c r="AK148" i="6"/>
  <c r="AJ148" i="6"/>
  <c r="AJ213" i="6" s="1"/>
  <c r="AJ215" i="6" s="1"/>
  <c r="AI148" i="6"/>
  <c r="AI213" i="6" s="1"/>
  <c r="AI215" i="6" s="1"/>
  <c r="AH148" i="6"/>
  <c r="AG148" i="6"/>
  <c r="AG213" i="6" s="1"/>
  <c r="AG215" i="6" s="1"/>
  <c r="AE148" i="6"/>
  <c r="AE213" i="6" s="1"/>
  <c r="AE215" i="6" s="1"/>
  <c r="AC148" i="6"/>
  <c r="Z148" i="6"/>
  <c r="Y148" i="6"/>
  <c r="Y213" i="6" s="1"/>
  <c r="Y215" i="6" s="1"/>
  <c r="X148" i="6"/>
  <c r="X213" i="6" s="1"/>
  <c r="X215" i="6" s="1"/>
  <c r="V148" i="6"/>
  <c r="U148" i="6"/>
  <c r="T148" i="6"/>
  <c r="R148" i="6"/>
  <c r="M148" i="6"/>
  <c r="K148" i="6"/>
  <c r="I148" i="6"/>
  <c r="I213" i="6" s="1"/>
  <c r="I215" i="6" s="1"/>
  <c r="H148" i="6"/>
  <c r="G148" i="6"/>
  <c r="F148" i="6"/>
  <c r="F213" i="6" s="1"/>
  <c r="F215" i="6" s="1"/>
  <c r="B148" i="6"/>
  <c r="S145" i="6"/>
  <c r="S141" i="6"/>
  <c r="S137" i="6"/>
  <c r="S135" i="6"/>
  <c r="AL130" i="6"/>
  <c r="S130" i="6"/>
  <c r="AY112" i="6"/>
  <c r="AY213" i="6" s="1"/>
  <c r="AY215" i="6" s="1"/>
  <c r="BB98" i="6"/>
  <c r="BB217" i="6" s="1"/>
  <c r="AT98" i="6"/>
  <c r="AT217" i="6" s="1"/>
  <c r="AQ98" i="6"/>
  <c r="AQ217" i="6" s="1"/>
  <c r="AP98" i="6"/>
  <c r="AP217" i="6" s="1"/>
  <c r="AF98" i="6"/>
  <c r="AF217" i="6" s="1"/>
  <c r="AB98" i="6"/>
  <c r="AB217" i="6" s="1"/>
  <c r="AA98" i="6"/>
  <c r="AA217" i="6" s="1"/>
  <c r="W98" i="6"/>
  <c r="W217" i="6" s="1"/>
  <c r="Q98" i="6"/>
  <c r="Q217" i="6" s="1"/>
  <c r="P98" i="6"/>
  <c r="P217" i="6" s="1"/>
  <c r="O98" i="6"/>
  <c r="O217" i="6" s="1"/>
  <c r="N98" i="6"/>
  <c r="N217" i="6" s="1"/>
  <c r="L98" i="6"/>
  <c r="L217" i="6" s="1"/>
  <c r="D98" i="6"/>
  <c r="C98" i="6"/>
  <c r="AX96" i="6"/>
  <c r="AX98" i="6" s="1"/>
  <c r="AX217" i="6" s="1"/>
  <c r="AW96" i="6"/>
  <c r="AW98" i="6" s="1"/>
  <c r="AW217" i="6" s="1"/>
  <c r="AV96" i="6"/>
  <c r="AV98" i="6" s="1"/>
  <c r="AV217" i="6" s="1"/>
  <c r="AU96" i="6"/>
  <c r="AU98" i="6" s="1"/>
  <c r="AU217" i="6" s="1"/>
  <c r="AS96" i="6"/>
  <c r="AS98" i="6" s="1"/>
  <c r="AS217" i="6" s="1"/>
  <c r="AR96" i="6"/>
  <c r="AR98" i="6" s="1"/>
  <c r="AR217" i="6" s="1"/>
  <c r="AO96" i="6"/>
  <c r="AO98" i="6" s="1"/>
  <c r="AO217" i="6" s="1"/>
  <c r="AN96" i="6"/>
  <c r="AN98" i="6" s="1"/>
  <c r="AN217" i="6" s="1"/>
  <c r="AM96" i="6"/>
  <c r="AM98" i="6" s="1"/>
  <c r="AM217" i="6" s="1"/>
  <c r="AK96" i="6"/>
  <c r="AK98" i="6" s="1"/>
  <c r="AK217" i="6" s="1"/>
  <c r="AH96" i="6"/>
  <c r="AH98" i="6" s="1"/>
  <c r="AH217" i="6" s="1"/>
  <c r="AE96" i="6"/>
  <c r="AE98" i="6" s="1"/>
  <c r="AE217" i="6" s="1"/>
  <c r="AD96" i="6"/>
  <c r="AD98" i="6" s="1"/>
  <c r="AD217" i="6" s="1"/>
  <c r="AC96" i="6"/>
  <c r="AC98" i="6" s="1"/>
  <c r="AC217" i="6" s="1"/>
  <c r="AL88" i="6"/>
  <c r="AL86" i="6"/>
  <c r="Z86" i="6"/>
  <c r="AG84" i="6"/>
  <c r="S84" i="6"/>
  <c r="J84" i="6"/>
  <c r="S83" i="6"/>
  <c r="AL82" i="6"/>
  <c r="AJ82" i="6"/>
  <c r="AJ96" i="6" s="1"/>
  <c r="AJ98" i="6" s="1"/>
  <c r="AJ217" i="6" s="1"/>
  <c r="AI82" i="6"/>
  <c r="AI96" i="6" s="1"/>
  <c r="AI98" i="6" s="1"/>
  <c r="AI217" i="6" s="1"/>
  <c r="AG82" i="6"/>
  <c r="B82" i="6"/>
  <c r="BD81" i="6"/>
  <c r="BC81" i="6"/>
  <c r="BA81" i="6"/>
  <c r="BA96" i="6" s="1"/>
  <c r="BA98" i="6" s="1"/>
  <c r="BA217" i="6" s="1"/>
  <c r="AZ81" i="6"/>
  <c r="AZ96" i="6" s="1"/>
  <c r="AZ98" i="6" s="1"/>
  <c r="AZ217" i="6" s="1"/>
  <c r="AY81" i="6"/>
  <c r="AY96" i="6" s="1"/>
  <c r="AY98" i="6" s="1"/>
  <c r="AY217" i="6" s="1"/>
  <c r="Z77" i="6"/>
  <c r="Y77" i="6"/>
  <c r="Y96" i="6" s="1"/>
  <c r="Y98" i="6" s="1"/>
  <c r="Y217" i="6" s="1"/>
  <c r="X77" i="6"/>
  <c r="X96" i="6" s="1"/>
  <c r="X98" i="6" s="1"/>
  <c r="X217" i="6" s="1"/>
  <c r="V77" i="6"/>
  <c r="V96" i="6" s="1"/>
  <c r="V98" i="6" s="1"/>
  <c r="V217" i="6" s="1"/>
  <c r="U77" i="6"/>
  <c r="U96" i="6" s="1"/>
  <c r="U98" i="6" s="1"/>
  <c r="U217" i="6" s="1"/>
  <c r="T77" i="6"/>
  <c r="T96" i="6" s="1"/>
  <c r="T98" i="6" s="1"/>
  <c r="T217" i="6" s="1"/>
  <c r="R77" i="6"/>
  <c r="R96" i="6" s="1"/>
  <c r="M77" i="6"/>
  <c r="M96" i="6" s="1"/>
  <c r="M98" i="6" s="1"/>
  <c r="M217" i="6" s="1"/>
  <c r="K77" i="6"/>
  <c r="K96" i="6" s="1"/>
  <c r="K98" i="6" s="1"/>
  <c r="K217" i="6" s="1"/>
  <c r="J77" i="6"/>
  <c r="I77" i="6"/>
  <c r="I96" i="6" s="1"/>
  <c r="I98" i="6" s="1"/>
  <c r="I217" i="6" s="1"/>
  <c r="H77" i="6"/>
  <c r="H96" i="6" s="1"/>
  <c r="H98" i="6" s="1"/>
  <c r="H217" i="6" s="1"/>
  <c r="G77" i="6"/>
  <c r="G96" i="6" s="1"/>
  <c r="G98" i="6" s="1"/>
  <c r="G217" i="6" s="1"/>
  <c r="F77" i="6"/>
  <c r="F96" i="6" s="1"/>
  <c r="F98" i="6" s="1"/>
  <c r="F217" i="6" s="1"/>
  <c r="E77" i="6"/>
  <c r="E96" i="6" s="1"/>
  <c r="E98" i="6" s="1"/>
  <c r="E217" i="6" s="1"/>
  <c r="B77" i="6"/>
  <c r="BC71" i="6"/>
  <c r="BD21" i="6"/>
  <c r="BC21" i="6"/>
  <c r="S21" i="6"/>
  <c r="S59" i="6"/>
  <c r="S55" i="6"/>
  <c r="S31" i="6"/>
  <c r="BD20" i="6"/>
  <c r="S39" i="6"/>
  <c r="S11" i="6"/>
  <c r="S8" i="6"/>
  <c r="J90" i="5"/>
  <c r="J92" i="5" s="1"/>
  <c r="H90" i="5"/>
  <c r="H92" i="5" s="1"/>
  <c r="G90" i="5"/>
  <c r="G92" i="5" s="1"/>
  <c r="F90" i="5"/>
  <c r="F92" i="5" s="1"/>
  <c r="D90" i="5"/>
  <c r="D92" i="5" s="1"/>
  <c r="C90" i="5"/>
  <c r="C92" i="5" s="1"/>
  <c r="B90" i="5"/>
  <c r="B92" i="5" s="1"/>
  <c r="I63" i="5"/>
  <c r="I90" i="5" s="1"/>
  <c r="I92" i="5" s="1"/>
  <c r="J45" i="5"/>
  <c r="J94" i="5" s="1"/>
  <c r="I45" i="5"/>
  <c r="I94" i="5" s="1"/>
  <c r="H45" i="5"/>
  <c r="H94" i="5" s="1"/>
  <c r="G45" i="5"/>
  <c r="G94" i="5" s="1"/>
  <c r="F45" i="5"/>
  <c r="F94" i="5" s="1"/>
  <c r="D45" i="5"/>
  <c r="D94" i="5" s="1"/>
  <c r="B45" i="5"/>
  <c r="B94" i="5" s="1"/>
  <c r="C14" i="5"/>
  <c r="C45" i="5" s="1"/>
  <c r="C94" i="5" s="1"/>
  <c r="BF164" i="4"/>
  <c r="BD164" i="4"/>
  <c r="BC164" i="4"/>
  <c r="BF162" i="4"/>
  <c r="BD162" i="4"/>
  <c r="BC162" i="4"/>
  <c r="AZ162" i="4"/>
  <c r="AX162" i="4"/>
  <c r="O162" i="4"/>
  <c r="N162" i="4"/>
  <c r="M162" i="4"/>
  <c r="AZ75" i="4"/>
  <c r="AZ164" i="4" s="1"/>
  <c r="AX75" i="4"/>
  <c r="AX164" i="4" s="1"/>
  <c r="O75" i="4"/>
  <c r="O164" i="4" s="1"/>
  <c r="O166" i="4" s="1"/>
  <c r="N75" i="4"/>
  <c r="N164" i="4" s="1"/>
  <c r="M75" i="4"/>
  <c r="M164" i="4" s="1"/>
  <c r="L75" i="4"/>
  <c r="L164" i="4" s="1"/>
  <c r="BB160" i="4"/>
  <c r="BB162" i="4" s="1"/>
  <c r="AY160" i="4"/>
  <c r="AY162" i="4" s="1"/>
  <c r="AU160" i="4"/>
  <c r="AU162" i="4" s="1"/>
  <c r="AT160" i="4"/>
  <c r="AT162" i="4" s="1"/>
  <c r="AP160" i="4"/>
  <c r="AP162" i="4" s="1"/>
  <c r="AO160" i="4"/>
  <c r="AO162" i="4" s="1"/>
  <c r="AN160" i="4"/>
  <c r="AN162" i="4" s="1"/>
  <c r="AM160" i="4"/>
  <c r="AM162" i="4" s="1"/>
  <c r="AK160" i="4"/>
  <c r="AK162" i="4" s="1"/>
  <c r="AJ160" i="4"/>
  <c r="AJ162" i="4" s="1"/>
  <c r="AI160" i="4"/>
  <c r="AI162" i="4" s="1"/>
  <c r="AH160" i="4"/>
  <c r="AH162" i="4" s="1"/>
  <c r="AG160" i="4"/>
  <c r="AG162" i="4" s="1"/>
  <c r="AE160" i="4"/>
  <c r="AE162" i="4" s="1"/>
  <c r="AD160" i="4"/>
  <c r="AD162" i="4" s="1"/>
  <c r="AC160" i="4"/>
  <c r="AC162" i="4" s="1"/>
  <c r="AA160" i="4"/>
  <c r="AA162" i="4" s="1"/>
  <c r="Z160" i="4"/>
  <c r="Z162" i="4" s="1"/>
  <c r="X160" i="4"/>
  <c r="X162" i="4" s="1"/>
  <c r="W160" i="4"/>
  <c r="W162" i="4" s="1"/>
  <c r="V160" i="4"/>
  <c r="V162" i="4" s="1"/>
  <c r="U160" i="4"/>
  <c r="U162" i="4" s="1"/>
  <c r="L160" i="4"/>
  <c r="L162" i="4" s="1"/>
  <c r="S152" i="4"/>
  <c r="Y151" i="4"/>
  <c r="Y160" i="4" s="1"/>
  <c r="Y162" i="4" s="1"/>
  <c r="Q151" i="4"/>
  <c r="R151" i="4" s="1"/>
  <c r="G151" i="4"/>
  <c r="Q146" i="4"/>
  <c r="R146" i="4" s="1"/>
  <c r="K144" i="4"/>
  <c r="B143" i="4"/>
  <c r="R142" i="4"/>
  <c r="I142" i="4"/>
  <c r="H142" i="4"/>
  <c r="E142" i="4"/>
  <c r="D142" i="4"/>
  <c r="C142" i="4"/>
  <c r="B142" i="4"/>
  <c r="C141" i="4"/>
  <c r="B141" i="4"/>
  <c r="C140" i="4"/>
  <c r="B140" i="4"/>
  <c r="K138" i="4"/>
  <c r="Q120" i="4"/>
  <c r="R120" i="4" s="1"/>
  <c r="P120" i="4"/>
  <c r="J120" i="4"/>
  <c r="I120" i="4"/>
  <c r="H120" i="4"/>
  <c r="F120" i="4"/>
  <c r="E120" i="4"/>
  <c r="D120" i="4"/>
  <c r="C120" i="4"/>
  <c r="AF128" i="4"/>
  <c r="R128" i="4"/>
  <c r="C128" i="4"/>
  <c r="C125" i="4"/>
  <c r="Q118" i="4"/>
  <c r="R118" i="4" s="1"/>
  <c r="D118" i="4"/>
  <c r="BE124" i="4"/>
  <c r="Q123" i="4"/>
  <c r="AS113" i="4"/>
  <c r="AR113" i="4"/>
  <c r="AR160" i="4" s="1"/>
  <c r="AR162" i="4" s="1"/>
  <c r="AQ113" i="4"/>
  <c r="AB113" i="4"/>
  <c r="Q113" i="4"/>
  <c r="P113" i="4"/>
  <c r="BA110" i="4"/>
  <c r="BA160" i="4" s="1"/>
  <c r="BA162" i="4" s="1"/>
  <c r="AL100" i="4"/>
  <c r="AB100" i="4"/>
  <c r="AL101" i="4"/>
  <c r="Q101" i="4"/>
  <c r="D101" i="4"/>
  <c r="AV99" i="4"/>
  <c r="R99" i="4"/>
  <c r="BG96" i="4"/>
  <c r="BG160" i="4" s="1"/>
  <c r="BG162" i="4" s="1"/>
  <c r="AW96" i="4"/>
  <c r="AV96" i="4"/>
  <c r="AW103" i="4"/>
  <c r="AV103" i="4"/>
  <c r="R103" i="4"/>
  <c r="AI74" i="4"/>
  <c r="T74" i="4"/>
  <c r="R74" i="4"/>
  <c r="BG73" i="4"/>
  <c r="BG75" i="4" s="1"/>
  <c r="BG164" i="4" s="1"/>
  <c r="BE73" i="4"/>
  <c r="BE75" i="4" s="1"/>
  <c r="BE164" i="4" s="1"/>
  <c r="BB73" i="4"/>
  <c r="BB75" i="4" s="1"/>
  <c r="BB164" i="4" s="1"/>
  <c r="AY73" i="4"/>
  <c r="AY75" i="4" s="1"/>
  <c r="AY164" i="4" s="1"/>
  <c r="AY166" i="4" s="1"/>
  <c r="AW73" i="4"/>
  <c r="AW75" i="4" s="1"/>
  <c r="AW164" i="4" s="1"/>
  <c r="AV73" i="4"/>
  <c r="AV75" i="4" s="1"/>
  <c r="AV164" i="4" s="1"/>
  <c r="AU73" i="4"/>
  <c r="AU75" i="4" s="1"/>
  <c r="AU164" i="4" s="1"/>
  <c r="AT73" i="4"/>
  <c r="AT75" i="4" s="1"/>
  <c r="AT164" i="4" s="1"/>
  <c r="AS73" i="4"/>
  <c r="AS75" i="4" s="1"/>
  <c r="AS164" i="4" s="1"/>
  <c r="AR73" i="4"/>
  <c r="AR75" i="4" s="1"/>
  <c r="AR164" i="4" s="1"/>
  <c r="AQ73" i="4"/>
  <c r="AQ75" i="4" s="1"/>
  <c r="AQ164" i="4" s="1"/>
  <c r="AP73" i="4"/>
  <c r="AP74" i="4" s="1"/>
  <c r="AO73" i="4"/>
  <c r="AO75" i="4" s="1"/>
  <c r="AO164" i="4" s="1"/>
  <c r="AN73" i="4"/>
  <c r="AN75" i="4" s="1"/>
  <c r="AN164" i="4" s="1"/>
  <c r="AL73" i="4"/>
  <c r="AL75" i="4" s="1"/>
  <c r="AL164" i="4" s="1"/>
  <c r="AK73" i="4"/>
  <c r="AK75" i="4" s="1"/>
  <c r="AK164" i="4" s="1"/>
  <c r="AJ73" i="4"/>
  <c r="AJ75" i="4" s="1"/>
  <c r="AJ164" i="4" s="1"/>
  <c r="AI73" i="4"/>
  <c r="AI75" i="4" s="1"/>
  <c r="AI164" i="4" s="1"/>
  <c r="AH73" i="4"/>
  <c r="AH75" i="4" s="1"/>
  <c r="AH164" i="4" s="1"/>
  <c r="AG73" i="4"/>
  <c r="AG75" i="4" s="1"/>
  <c r="AG164" i="4" s="1"/>
  <c r="AF73" i="4"/>
  <c r="AF75" i="4" s="1"/>
  <c r="AF164" i="4" s="1"/>
  <c r="AE73" i="4"/>
  <c r="AE75" i="4" s="1"/>
  <c r="AE164" i="4" s="1"/>
  <c r="AD73" i="4"/>
  <c r="AD75" i="4" s="1"/>
  <c r="AD164" i="4" s="1"/>
  <c r="AC73" i="4"/>
  <c r="AC75" i="4" s="1"/>
  <c r="AC164" i="4" s="1"/>
  <c r="AA73" i="4"/>
  <c r="AA75" i="4" s="1"/>
  <c r="AA164" i="4" s="1"/>
  <c r="Z73" i="4"/>
  <c r="Z75" i="4" s="1"/>
  <c r="Z164" i="4" s="1"/>
  <c r="Y73" i="4"/>
  <c r="Y75" i="4" s="1"/>
  <c r="Y164" i="4" s="1"/>
  <c r="W73" i="4"/>
  <c r="W75" i="4" s="1"/>
  <c r="W164" i="4" s="1"/>
  <c r="V73" i="4"/>
  <c r="V75" i="4" s="1"/>
  <c r="V164" i="4" s="1"/>
  <c r="U73" i="4"/>
  <c r="U75" i="4" s="1"/>
  <c r="U164" i="4" s="1"/>
  <c r="P73" i="4"/>
  <c r="P75" i="4" s="1"/>
  <c r="P164" i="4" s="1"/>
  <c r="T72" i="4"/>
  <c r="R72" i="4"/>
  <c r="X71" i="4"/>
  <c r="T71" i="4"/>
  <c r="T70" i="4"/>
  <c r="T68" i="4"/>
  <c r="R68" i="4"/>
  <c r="T67" i="4"/>
  <c r="R67" i="4"/>
  <c r="D67" i="4"/>
  <c r="T66" i="4"/>
  <c r="R66" i="4"/>
  <c r="B66" i="4"/>
  <c r="T65" i="4"/>
  <c r="R65" i="4"/>
  <c r="S64" i="4"/>
  <c r="T64" i="4" s="1"/>
  <c r="R64" i="4"/>
  <c r="T63" i="4"/>
  <c r="R63" i="4"/>
  <c r="T62" i="4"/>
  <c r="R62" i="4"/>
  <c r="T61" i="4"/>
  <c r="R61" i="4"/>
  <c r="T60" i="4"/>
  <c r="R60" i="4"/>
  <c r="T59" i="4"/>
  <c r="R59" i="4"/>
  <c r="T58" i="4"/>
  <c r="R58" i="4"/>
  <c r="T57" i="4"/>
  <c r="R57" i="4"/>
  <c r="T56" i="4"/>
  <c r="R56" i="4"/>
  <c r="T55" i="4"/>
  <c r="R55" i="4"/>
  <c r="T54" i="4"/>
  <c r="R54" i="4"/>
  <c r="T53" i="4"/>
  <c r="R53" i="4"/>
  <c r="T52" i="4"/>
  <c r="R52" i="4"/>
  <c r="AM51" i="4"/>
  <c r="X51" i="4"/>
  <c r="T51" i="4"/>
  <c r="R51" i="4"/>
  <c r="K51" i="4"/>
  <c r="K73" i="4" s="1"/>
  <c r="K75" i="4" s="1"/>
  <c r="K164" i="4" s="1"/>
  <c r="J51" i="4"/>
  <c r="J73" i="4" s="1"/>
  <c r="J75" i="4" s="1"/>
  <c r="J164" i="4" s="1"/>
  <c r="I51" i="4"/>
  <c r="I73" i="4" s="1"/>
  <c r="I75" i="4" s="1"/>
  <c r="I164" i="4" s="1"/>
  <c r="H51" i="4"/>
  <c r="H73" i="4" s="1"/>
  <c r="H75" i="4" s="1"/>
  <c r="H164" i="4" s="1"/>
  <c r="G51" i="4"/>
  <c r="G73" i="4" s="1"/>
  <c r="G75" i="4" s="1"/>
  <c r="G164" i="4" s="1"/>
  <c r="F51" i="4"/>
  <c r="E51" i="4"/>
  <c r="D51" i="4"/>
  <c r="C51" i="4"/>
  <c r="B51" i="4"/>
  <c r="T39" i="4"/>
  <c r="R39" i="4"/>
  <c r="AM40" i="4"/>
  <c r="T40" i="4"/>
  <c r="R40" i="4"/>
  <c r="T44" i="4"/>
  <c r="R44" i="4"/>
  <c r="T45" i="4"/>
  <c r="R45" i="4"/>
  <c r="T42" i="4"/>
  <c r="R42" i="4"/>
  <c r="AB16" i="4"/>
  <c r="AB73" i="4" s="1"/>
  <c r="AB75" i="4" s="1"/>
  <c r="AB164" i="4" s="1"/>
  <c r="T16" i="4"/>
  <c r="R16" i="4"/>
  <c r="T47" i="4"/>
  <c r="Q47" i="4"/>
  <c r="R47" i="4" s="1"/>
  <c r="T48" i="4"/>
  <c r="R48" i="4"/>
  <c r="T19" i="4"/>
  <c r="R19" i="4"/>
  <c r="T35" i="4"/>
  <c r="R35" i="4"/>
  <c r="T20" i="4"/>
  <c r="R20" i="4"/>
  <c r="T25" i="4"/>
  <c r="R25" i="4"/>
  <c r="T38" i="4"/>
  <c r="R38" i="4"/>
  <c r="T49" i="4"/>
  <c r="R49" i="4"/>
  <c r="T46" i="4"/>
  <c r="R46" i="4"/>
  <c r="T43" i="4"/>
  <c r="R43" i="4"/>
  <c r="AM41" i="4"/>
  <c r="T41" i="4"/>
  <c r="R41" i="4"/>
  <c r="S36" i="4"/>
  <c r="T36" i="4" s="1"/>
  <c r="Q36" i="4"/>
  <c r="R36" i="4" s="1"/>
  <c r="T28" i="4"/>
  <c r="Q28" i="4"/>
  <c r="R28" i="4" s="1"/>
  <c r="T26" i="4"/>
  <c r="R26" i="4"/>
  <c r="T27" i="4"/>
  <c r="R27" i="4"/>
  <c r="T37" i="4"/>
  <c r="R37" i="4"/>
  <c r="T34" i="4"/>
  <c r="R34" i="4"/>
  <c r="T33" i="4"/>
  <c r="R33" i="4"/>
  <c r="T32" i="4"/>
  <c r="R32" i="4"/>
  <c r="T31" i="4"/>
  <c r="R31" i="4"/>
  <c r="AM29" i="4"/>
  <c r="S29" i="4"/>
  <c r="T29" i="4" s="1"/>
  <c r="Q29" i="4"/>
  <c r="R29" i="4" s="1"/>
  <c r="F29" i="4"/>
  <c r="E29" i="4"/>
  <c r="C29" i="4"/>
  <c r="B29" i="4"/>
  <c r="T30" i="4"/>
  <c r="R30" i="4"/>
  <c r="T24" i="4"/>
  <c r="R24" i="4"/>
  <c r="S23" i="4"/>
  <c r="T23" i="4" s="1"/>
  <c r="R23" i="4"/>
  <c r="BA22" i="4"/>
  <c r="BA73" i="4" s="1"/>
  <c r="BA75" i="4" s="1"/>
  <c r="BA164" i="4" s="1"/>
  <c r="T22" i="4"/>
  <c r="R22" i="4"/>
  <c r="T21" i="4"/>
  <c r="R21" i="4"/>
  <c r="T18" i="4"/>
  <c r="R18" i="4"/>
  <c r="T17" i="4"/>
  <c r="R17" i="4"/>
  <c r="T11" i="4"/>
  <c r="R11" i="4"/>
  <c r="T12" i="4"/>
  <c r="R12" i="4"/>
  <c r="T15" i="4"/>
  <c r="R15" i="4"/>
  <c r="S14" i="4"/>
  <c r="Q14" i="4"/>
  <c r="T13" i="4"/>
  <c r="R13" i="4"/>
  <c r="T10" i="4"/>
  <c r="R10" i="4"/>
  <c r="T9" i="4"/>
  <c r="R9" i="4"/>
  <c r="T8" i="4"/>
  <c r="R8" i="4"/>
  <c r="AS175" i="8"/>
  <c r="AR175" i="8"/>
  <c r="AQ175" i="8"/>
  <c r="AP175" i="8"/>
  <c r="AN175" i="8"/>
  <c r="AJ175" i="8"/>
  <c r="Y171" i="8"/>
  <c r="V171" i="8"/>
  <c r="O171" i="8"/>
  <c r="BD169" i="8"/>
  <c r="BD171" i="8" s="1"/>
  <c r="BB169" i="8"/>
  <c r="BB171" i="8" s="1"/>
  <c r="BA169" i="8"/>
  <c r="BA171" i="8" s="1"/>
  <c r="AY169" i="8"/>
  <c r="AY171" i="8" s="1"/>
  <c r="AX169" i="8"/>
  <c r="AX171" i="8" s="1"/>
  <c r="AV169" i="8"/>
  <c r="AV171" i="8" s="1"/>
  <c r="AV175" i="8" s="1"/>
  <c r="AT169" i="8"/>
  <c r="AT171" i="8" s="1"/>
  <c r="AT175" i="8" s="1"/>
  <c r="AO169" i="8"/>
  <c r="AO171" i="8" s="1"/>
  <c r="AO175" i="8" s="1"/>
  <c r="AM169" i="8"/>
  <c r="AM171" i="8" s="1"/>
  <c r="AM175" i="8" s="1"/>
  <c r="AL169" i="8"/>
  <c r="AL171" i="8" s="1"/>
  <c r="AL175" i="8" s="1"/>
  <c r="AK169" i="8"/>
  <c r="AK171" i="8" s="1"/>
  <c r="AK175" i="8" s="1"/>
  <c r="AI169" i="8"/>
  <c r="AI171" i="8" s="1"/>
  <c r="AI175" i="8" s="1"/>
  <c r="AH169" i="8"/>
  <c r="AH171" i="8" s="1"/>
  <c r="AH175" i="8" s="1"/>
  <c r="AG169" i="8"/>
  <c r="AG171" i="8" s="1"/>
  <c r="AG175" i="8" s="1"/>
  <c r="AF169" i="8"/>
  <c r="AF171" i="8" s="1"/>
  <c r="AF175" i="8" s="1"/>
  <c r="AD169" i="8"/>
  <c r="AD171" i="8" s="1"/>
  <c r="AC169" i="8"/>
  <c r="AC171" i="8" s="1"/>
  <c r="AB169" i="8"/>
  <c r="AB171" i="8" s="1"/>
  <c r="AA169" i="8"/>
  <c r="AA171" i="8" s="1"/>
  <c r="Z169" i="8"/>
  <c r="Z171" i="8" s="1"/>
  <c r="X169" i="8"/>
  <c r="X171" i="8" s="1"/>
  <c r="W169" i="8"/>
  <c r="W171" i="8" s="1"/>
  <c r="U169" i="8"/>
  <c r="U171" i="8" s="1"/>
  <c r="T169" i="8"/>
  <c r="T171" i="8" s="1"/>
  <c r="P169" i="8"/>
  <c r="P171" i="8" s="1"/>
  <c r="L169" i="8"/>
  <c r="L171" i="8" s="1"/>
  <c r="K169" i="8"/>
  <c r="K171" i="8" s="1"/>
  <c r="J169" i="8"/>
  <c r="J171" i="8" s="1"/>
  <c r="I169" i="8"/>
  <c r="I171" i="8" s="1"/>
  <c r="G169" i="8"/>
  <c r="G171" i="8" s="1"/>
  <c r="BC166" i="8"/>
  <c r="AW166" i="8"/>
  <c r="AW169" i="8" s="1"/>
  <c r="AW171" i="8" s="1"/>
  <c r="AW175" i="8" s="1"/>
  <c r="AU166" i="8"/>
  <c r="S163" i="8"/>
  <c r="M153" i="8"/>
  <c r="AZ152" i="8"/>
  <c r="BC151" i="8"/>
  <c r="R157" i="8"/>
  <c r="R150" i="8"/>
  <c r="R142" i="8"/>
  <c r="N132" i="8"/>
  <c r="H132" i="8"/>
  <c r="H169" i="8" s="1"/>
  <c r="H171" i="8" s="1"/>
  <c r="R139" i="8"/>
  <c r="R134" i="8"/>
  <c r="Q131" i="8"/>
  <c r="R128" i="8"/>
  <c r="N119" i="8"/>
  <c r="B115" i="8"/>
  <c r="R112" i="8"/>
  <c r="F112" i="8"/>
  <c r="E112" i="8"/>
  <c r="D112" i="8"/>
  <c r="C112" i="8"/>
  <c r="B112" i="8"/>
  <c r="Q111" i="8"/>
  <c r="R110" i="8"/>
  <c r="F110" i="8"/>
  <c r="E110" i="8"/>
  <c r="D110" i="8"/>
  <c r="C110" i="8"/>
  <c r="B110" i="8"/>
  <c r="BC108" i="8"/>
  <c r="R108" i="8"/>
  <c r="AJ92" i="8"/>
  <c r="BB90" i="8"/>
  <c r="BB92" i="8" s="1"/>
  <c r="AZ90" i="8"/>
  <c r="AZ92" i="8" s="1"/>
  <c r="AY90" i="8"/>
  <c r="AY92" i="8" s="1"/>
  <c r="AW90" i="8"/>
  <c r="AW92" i="8" s="1"/>
  <c r="AT90" i="8"/>
  <c r="AT92" i="8" s="1"/>
  <c r="AO90" i="8"/>
  <c r="AO92" i="8" s="1"/>
  <c r="AL90" i="8"/>
  <c r="AL92" i="8" s="1"/>
  <c r="AI90" i="8"/>
  <c r="AI92" i="8" s="1"/>
  <c r="AH90" i="8"/>
  <c r="AH92" i="8" s="1"/>
  <c r="AG90" i="8"/>
  <c r="AG92" i="8" s="1"/>
  <c r="AF90" i="8"/>
  <c r="AF92" i="8" s="1"/>
  <c r="AD90" i="8"/>
  <c r="AD92" i="8" s="1"/>
  <c r="AC90" i="8"/>
  <c r="AC92" i="8" s="1"/>
  <c r="AB90" i="8"/>
  <c r="AB92" i="8" s="1"/>
  <c r="AA90" i="8"/>
  <c r="AA92" i="8" s="1"/>
  <c r="Z90" i="8"/>
  <c r="Z92" i="8" s="1"/>
  <c r="X90" i="8"/>
  <c r="X92" i="8" s="1"/>
  <c r="W90" i="8"/>
  <c r="W92" i="8" s="1"/>
  <c r="U90" i="8"/>
  <c r="U92" i="8" s="1"/>
  <c r="S90" i="8"/>
  <c r="S92" i="8" s="1"/>
  <c r="Q90" i="8"/>
  <c r="Q92" i="8" s="1"/>
  <c r="P90" i="8"/>
  <c r="P92" i="8" s="1"/>
  <c r="M90" i="8"/>
  <c r="M92" i="8" s="1"/>
  <c r="K90" i="8"/>
  <c r="K92" i="8" s="1"/>
  <c r="G90" i="8"/>
  <c r="G92" i="8" s="1"/>
  <c r="E90" i="8"/>
  <c r="E92" i="8" s="1"/>
  <c r="D90" i="8"/>
  <c r="D92" i="8" s="1"/>
  <c r="C90" i="8"/>
  <c r="C92" i="8" s="1"/>
  <c r="B90" i="8"/>
  <c r="B92" i="8" s="1"/>
  <c r="N88" i="8"/>
  <c r="N90" i="8" s="1"/>
  <c r="N92" i="8" s="1"/>
  <c r="F88" i="8"/>
  <c r="AK86" i="8"/>
  <c r="R71" i="8"/>
  <c r="F71" i="8"/>
  <c r="I70" i="8"/>
  <c r="H70" i="8"/>
  <c r="I69" i="8"/>
  <c r="R68" i="8"/>
  <c r="L66" i="8"/>
  <c r="L90" i="8" s="1"/>
  <c r="L92" i="8" s="1"/>
  <c r="H66" i="8"/>
  <c r="H65" i="8"/>
  <c r="R55" i="8"/>
  <c r="F55" i="8"/>
  <c r="AM48" i="8"/>
  <c r="AM90" i="8" s="1"/>
  <c r="AM92" i="8" s="1"/>
  <c r="BD42" i="8"/>
  <c r="BD90" i="8" s="1"/>
  <c r="BD92" i="8" s="1"/>
  <c r="BC42" i="8"/>
  <c r="BC90" i="8" s="1"/>
  <c r="BC92" i="8" s="1"/>
  <c r="BA42" i="8"/>
  <c r="AU42" i="8"/>
  <c r="AU90" i="8" s="1"/>
  <c r="AU92" i="8" s="1"/>
  <c r="AK37" i="8"/>
  <c r="F27" i="8"/>
  <c r="BA21" i="8"/>
  <c r="BA90" i="8" s="1"/>
  <c r="BA92" i="8" s="1"/>
  <c r="R43" i="8"/>
  <c r="R12" i="8"/>
  <c r="R11" i="8"/>
  <c r="R8" i="8"/>
  <c r="AG96" i="6" l="1"/>
  <c r="AG98" i="6" s="1"/>
  <c r="AG217" i="6" s="1"/>
  <c r="Z96" i="6"/>
  <c r="Z98" i="6" s="1"/>
  <c r="Z217" i="6" s="1"/>
  <c r="S77" i="6"/>
  <c r="AU166" i="4"/>
  <c r="R122" i="7"/>
  <c r="T213" i="6"/>
  <c r="T215" i="6" s="1"/>
  <c r="AI166" i="4"/>
  <c r="AN166" i="4"/>
  <c r="D194" i="9"/>
  <c r="BC96" i="6"/>
  <c r="BC98" i="6" s="1"/>
  <c r="BC217" i="6" s="1"/>
  <c r="BD96" i="6"/>
  <c r="BD98" i="6" s="1"/>
  <c r="BD217" i="6" s="1"/>
  <c r="J96" i="6"/>
  <c r="J98" i="6" s="1"/>
  <c r="J217" i="6" s="1"/>
  <c r="B96" i="6"/>
  <c r="B98" i="6" s="1"/>
  <c r="B217" i="6" s="1"/>
  <c r="AL96" i="6"/>
  <c r="AL98" i="6" s="1"/>
  <c r="AL217" i="6" s="1"/>
  <c r="AF219" i="6"/>
  <c r="L219" i="6"/>
  <c r="O219" i="6"/>
  <c r="AZ219" i="6"/>
  <c r="AR219" i="6"/>
  <c r="I219" i="6"/>
  <c r="AK213" i="6"/>
  <c r="AK215" i="6" s="1"/>
  <c r="AK219" i="6" s="1"/>
  <c r="AN219" i="6"/>
  <c r="W219" i="6"/>
  <c r="E219" i="6"/>
  <c r="AY219" i="6"/>
  <c r="AB219" i="6"/>
  <c r="AS219" i="6"/>
  <c r="F219" i="6"/>
  <c r="AG219" i="6"/>
  <c r="T219" i="6"/>
  <c r="AJ219" i="6"/>
  <c r="AV219" i="6"/>
  <c r="N219" i="6"/>
  <c r="BA219" i="6"/>
  <c r="AD219" i="6"/>
  <c r="BB219" i="6"/>
  <c r="AO219" i="6"/>
  <c r="X219" i="6"/>
  <c r="AI219" i="6"/>
  <c r="Y219" i="6"/>
  <c r="AE219" i="6"/>
  <c r="AM219" i="6"/>
  <c r="AX219" i="6"/>
  <c r="AA219" i="6"/>
  <c r="AQ219" i="6"/>
  <c r="BC166" i="4"/>
  <c r="BD166" i="4"/>
  <c r="M166" i="4"/>
  <c r="H160" i="4"/>
  <c r="H162" i="4" s="1"/>
  <c r="H166" i="4" s="1"/>
  <c r="AZ166" i="4"/>
  <c r="K160" i="4"/>
  <c r="K162" i="4" s="1"/>
  <c r="K166" i="4" s="1"/>
  <c r="H96" i="5"/>
  <c r="E96" i="5"/>
  <c r="X122" i="7"/>
  <c r="W166" i="4"/>
  <c r="AC166" i="4"/>
  <c r="AG166" i="4"/>
  <c r="AK166" i="4"/>
  <c r="Y166" i="4"/>
  <c r="AE194" i="9"/>
  <c r="Y194" i="9"/>
  <c r="Q194" i="9"/>
  <c r="G194" i="9"/>
  <c r="R194" i="9"/>
  <c r="AB194" i="9"/>
  <c r="P194" i="9"/>
  <c r="AD194" i="9"/>
  <c r="X194" i="9"/>
  <c r="AL194" i="9"/>
  <c r="D96" i="5"/>
  <c r="I96" i="5"/>
  <c r="B96" i="5"/>
  <c r="J96" i="5"/>
  <c r="F96" i="5"/>
  <c r="C96" i="5"/>
  <c r="G96" i="5"/>
  <c r="Z166" i="4"/>
  <c r="V166" i="4"/>
  <c r="BB166" i="4"/>
  <c r="AD166" i="4"/>
  <c r="AH166" i="4"/>
  <c r="C169" i="8"/>
  <c r="C171" i="8" s="1"/>
  <c r="Q169" i="8"/>
  <c r="Q171" i="8" s="1"/>
  <c r="R171" i="8" s="1"/>
  <c r="D169" i="8"/>
  <c r="D171" i="8" s="1"/>
  <c r="F90" i="8"/>
  <c r="F92" i="8" s="1"/>
  <c r="I90" i="8"/>
  <c r="I92" i="8" s="1"/>
  <c r="Y122" i="7"/>
  <c r="W56" i="7"/>
  <c r="W120" i="7" s="1"/>
  <c r="W122" i="7" s="1"/>
  <c r="F122" i="7"/>
  <c r="P122" i="7"/>
  <c r="T54" i="7"/>
  <c r="T56" i="7" s="1"/>
  <c r="T120" i="7" s="1"/>
  <c r="H122" i="7"/>
  <c r="O122" i="7"/>
  <c r="E122" i="7"/>
  <c r="B116" i="7"/>
  <c r="B118" i="7" s="1"/>
  <c r="B122" i="7" s="1"/>
  <c r="Q116" i="7"/>
  <c r="Q118" i="7" s="1"/>
  <c r="Q122" i="7" s="1"/>
  <c r="V54" i="7"/>
  <c r="V56" i="7" s="1"/>
  <c r="V120" i="7" s="1"/>
  <c r="V122" i="7" s="1"/>
  <c r="U54" i="7"/>
  <c r="U56" i="7" s="1"/>
  <c r="U120" i="7" s="1"/>
  <c r="U122" i="7" s="1"/>
  <c r="T116" i="7"/>
  <c r="T118" i="7" s="1"/>
  <c r="D54" i="7"/>
  <c r="D56" i="7" s="1"/>
  <c r="D120" i="7" s="1"/>
  <c r="C118" i="7"/>
  <c r="C122" i="7" s="1"/>
  <c r="O194" i="9"/>
  <c r="AC194" i="9"/>
  <c r="M194" i="9"/>
  <c r="W194" i="9"/>
  <c r="AP194" i="9"/>
  <c r="AM104" i="9"/>
  <c r="AM106" i="9" s="1"/>
  <c r="AM192" i="9" s="1"/>
  <c r="AM194" i="9" s="1"/>
  <c r="AJ104" i="9"/>
  <c r="AJ106" i="9" s="1"/>
  <c r="AJ192" i="9" s="1"/>
  <c r="AJ194" i="9" s="1"/>
  <c r="AI194" i="9"/>
  <c r="E194" i="9"/>
  <c r="I194" i="9"/>
  <c r="AA194" i="9"/>
  <c r="AK104" i="9"/>
  <c r="AK106" i="9" s="1"/>
  <c r="AK192" i="9" s="1"/>
  <c r="AK194" i="9" s="1"/>
  <c r="V194" i="9"/>
  <c r="Z194" i="9"/>
  <c r="AQ194" i="9"/>
  <c r="L194" i="9"/>
  <c r="AS194" i="9"/>
  <c r="T185" i="9"/>
  <c r="T190" i="9" s="1"/>
  <c r="T194" i="9" s="1"/>
  <c r="K185" i="9"/>
  <c r="K190" i="9" s="1"/>
  <c r="K194" i="9" s="1"/>
  <c r="F104" i="9"/>
  <c r="F106" i="9" s="1"/>
  <c r="F192" i="9" s="1"/>
  <c r="AF194" i="9"/>
  <c r="AF105" i="9"/>
  <c r="AR104" i="9"/>
  <c r="AR106" i="9" s="1"/>
  <c r="AR192" i="9" s="1"/>
  <c r="AR194" i="9" s="1"/>
  <c r="AO104" i="9"/>
  <c r="AO106" i="9" s="1"/>
  <c r="AO192" i="9" s="1"/>
  <c r="AO194" i="9" s="1"/>
  <c r="AN104" i="9"/>
  <c r="AN106" i="9" s="1"/>
  <c r="AN192" i="9" s="1"/>
  <c r="AT185" i="9"/>
  <c r="AT190" i="9" s="1"/>
  <c r="AT104" i="9"/>
  <c r="AT106" i="9" s="1"/>
  <c r="AT192" i="9" s="1"/>
  <c r="AH104" i="9"/>
  <c r="AH106" i="9" s="1"/>
  <c r="AH192" i="9" s="1"/>
  <c r="AH194" i="9" s="1"/>
  <c r="H185" i="9"/>
  <c r="H190" i="9" s="1"/>
  <c r="H194" i="9" s="1"/>
  <c r="U185" i="9"/>
  <c r="U190" i="9" s="1"/>
  <c r="U194" i="9" s="1"/>
  <c r="F185" i="9"/>
  <c r="F190" i="9" s="1"/>
  <c r="J185" i="9"/>
  <c r="J190" i="9" s="1"/>
  <c r="J194" i="9" s="1"/>
  <c r="N185" i="9"/>
  <c r="N190" i="9" s="1"/>
  <c r="N194" i="9" s="1"/>
  <c r="S185" i="9"/>
  <c r="S190" i="9" s="1"/>
  <c r="S194" i="9" s="1"/>
  <c r="AN185" i="9"/>
  <c r="AN190" i="9" s="1"/>
  <c r="AG105" i="9"/>
  <c r="M213" i="6"/>
  <c r="M215" i="6" s="1"/>
  <c r="M219" i="6" s="1"/>
  <c r="Q219" i="6"/>
  <c r="AW219" i="6"/>
  <c r="S96" i="6"/>
  <c r="S98" i="6" s="1"/>
  <c r="S217" i="6" s="1"/>
  <c r="R98" i="6"/>
  <c r="R217" i="6" s="1"/>
  <c r="P219" i="6"/>
  <c r="J213" i="6"/>
  <c r="J215" i="6" s="1"/>
  <c r="J219" i="6" s="1"/>
  <c r="G213" i="6"/>
  <c r="G215" i="6" s="1"/>
  <c r="G219" i="6" s="1"/>
  <c r="U213" i="6"/>
  <c r="U215" i="6" s="1"/>
  <c r="U219" i="6" s="1"/>
  <c r="Z213" i="6"/>
  <c r="Z215" i="6" s="1"/>
  <c r="AH213" i="6"/>
  <c r="AH215" i="6" s="1"/>
  <c r="AH219" i="6" s="1"/>
  <c r="BD213" i="6"/>
  <c r="BD215" i="6" s="1"/>
  <c r="S189" i="6"/>
  <c r="AL213" i="6"/>
  <c r="AL215" i="6" s="1"/>
  <c r="R213" i="6"/>
  <c r="R215" i="6" s="1"/>
  <c r="AU213" i="6"/>
  <c r="AU215" i="6" s="1"/>
  <c r="AU219" i="6" s="1"/>
  <c r="AC213" i="6"/>
  <c r="AC215" i="6" s="1"/>
  <c r="AC219" i="6" s="1"/>
  <c r="AT219" i="6"/>
  <c r="B213" i="6"/>
  <c r="B215" i="6" s="1"/>
  <c r="S148" i="6"/>
  <c r="H213" i="6"/>
  <c r="H215" i="6" s="1"/>
  <c r="H219" i="6" s="1"/>
  <c r="V213" i="6"/>
  <c r="V215" i="6" s="1"/>
  <c r="V219" i="6" s="1"/>
  <c r="AP219" i="6"/>
  <c r="K213" i="6"/>
  <c r="K215" i="6" s="1"/>
  <c r="K219" i="6" s="1"/>
  <c r="BC213" i="6"/>
  <c r="BC215" i="6" s="1"/>
  <c r="BC219" i="6" s="1"/>
  <c r="BA166" i="4"/>
  <c r="U166" i="4"/>
  <c r="AE166" i="4"/>
  <c r="AR166" i="4"/>
  <c r="AT166" i="4"/>
  <c r="L166" i="4"/>
  <c r="AA166" i="4"/>
  <c r="AJ166" i="4"/>
  <c r="AO166" i="4"/>
  <c r="BG166" i="4"/>
  <c r="N166" i="4"/>
  <c r="AX166" i="4"/>
  <c r="BF166" i="4"/>
  <c r="R111" i="8"/>
  <c r="R101" i="4"/>
  <c r="AP75" i="4"/>
  <c r="AP164" i="4" s="1"/>
  <c r="AP166" i="4" s="1"/>
  <c r="F73" i="4"/>
  <c r="F75" i="4" s="1"/>
  <c r="F164" i="4" s="1"/>
  <c r="D73" i="4"/>
  <c r="D75" i="4" s="1"/>
  <c r="D164" i="4" s="1"/>
  <c r="P160" i="4"/>
  <c r="P162" i="4" s="1"/>
  <c r="P166" i="4" s="1"/>
  <c r="E160" i="4"/>
  <c r="E162" i="4" s="1"/>
  <c r="D160" i="4"/>
  <c r="D162" i="4" s="1"/>
  <c r="C73" i="4"/>
  <c r="C75" i="4" s="1"/>
  <c r="C164" i="4" s="1"/>
  <c r="E73" i="4"/>
  <c r="E75" i="4" s="1"/>
  <c r="E164" i="4" s="1"/>
  <c r="AM73" i="4"/>
  <c r="AM75" i="4" s="1"/>
  <c r="AM164" i="4" s="1"/>
  <c r="AM166" i="4" s="1"/>
  <c r="X73" i="4"/>
  <c r="X75" i="4" s="1"/>
  <c r="X164" i="4" s="1"/>
  <c r="X166" i="4" s="1"/>
  <c r="R113" i="4"/>
  <c r="I160" i="4"/>
  <c r="I162" i="4" s="1"/>
  <c r="I166" i="4" s="1"/>
  <c r="AF160" i="4"/>
  <c r="AF162" i="4" s="1"/>
  <c r="AF166" i="4" s="1"/>
  <c r="S73" i="4"/>
  <c r="C160" i="4"/>
  <c r="C162" i="4" s="1"/>
  <c r="AV160" i="4"/>
  <c r="AV162" i="4" s="1"/>
  <c r="AV166" i="4" s="1"/>
  <c r="AL160" i="4"/>
  <c r="AL162" i="4" s="1"/>
  <c r="AL166" i="4" s="1"/>
  <c r="AB160" i="4"/>
  <c r="AB162" i="4" s="1"/>
  <c r="AB166" i="4" s="1"/>
  <c r="R123" i="4"/>
  <c r="B160" i="4"/>
  <c r="B162" i="4" s="1"/>
  <c r="F160" i="4"/>
  <c r="F162" i="4" s="1"/>
  <c r="J160" i="4"/>
  <c r="J162" i="4" s="1"/>
  <c r="J166" i="4" s="1"/>
  <c r="Q160" i="4"/>
  <c r="AS160" i="4"/>
  <c r="AS162" i="4" s="1"/>
  <c r="AS166" i="4" s="1"/>
  <c r="AW160" i="4"/>
  <c r="AW162" i="4" s="1"/>
  <c r="AW166" i="4" s="1"/>
  <c r="BE160" i="4"/>
  <c r="BE162" i="4" s="1"/>
  <c r="BE166" i="4" s="1"/>
  <c r="G160" i="4"/>
  <c r="G162" i="4" s="1"/>
  <c r="G166" i="4" s="1"/>
  <c r="S160" i="4"/>
  <c r="AQ160" i="4"/>
  <c r="AQ162" i="4" s="1"/>
  <c r="AQ166" i="4" s="1"/>
  <c r="T14" i="4"/>
  <c r="B73" i="4"/>
  <c r="B75" i="4" s="1"/>
  <c r="B164" i="4" s="1"/>
  <c r="Q73" i="4"/>
  <c r="R14" i="4"/>
  <c r="R90" i="8"/>
  <c r="R92" i="8" s="1"/>
  <c r="E169" i="8"/>
  <c r="E171" i="8" s="1"/>
  <c r="AU169" i="8"/>
  <c r="AU171" i="8" s="1"/>
  <c r="AU175" i="8" s="1"/>
  <c r="AK90" i="8"/>
  <c r="AK92" i="8" s="1"/>
  <c r="H90" i="8"/>
  <c r="H92" i="8" s="1"/>
  <c r="R169" i="8"/>
  <c r="M169" i="8"/>
  <c r="M171" i="8" s="1"/>
  <c r="B169" i="8"/>
  <c r="B171" i="8" s="1"/>
  <c r="F169" i="8"/>
  <c r="F171" i="8" s="1"/>
  <c r="N169" i="8"/>
  <c r="N171" i="8" s="1"/>
  <c r="S169" i="8"/>
  <c r="S171" i="8" s="1"/>
  <c r="AZ169" i="8"/>
  <c r="AZ171" i="8" s="1"/>
  <c r="BC169" i="8"/>
  <c r="BC171" i="8" s="1"/>
  <c r="R131" i="8"/>
  <c r="U152" i="2"/>
  <c r="U154" i="2" s="1"/>
  <c r="T152" i="2"/>
  <c r="T154" i="2" s="1"/>
  <c r="S152" i="2"/>
  <c r="S154" i="2" s="1"/>
  <c r="R152" i="2"/>
  <c r="R154" i="2" s="1"/>
  <c r="Q152" i="2"/>
  <c r="Q154" i="2" s="1"/>
  <c r="P152" i="2"/>
  <c r="P154" i="2" s="1"/>
  <c r="O152" i="2"/>
  <c r="O154" i="2" s="1"/>
  <c r="N152" i="2"/>
  <c r="N154" i="2" s="1"/>
  <c r="L152" i="2"/>
  <c r="L154" i="2" s="1"/>
  <c r="J152" i="2"/>
  <c r="J154" i="2" s="1"/>
  <c r="I152" i="2"/>
  <c r="I154" i="2" s="1"/>
  <c r="G152" i="2"/>
  <c r="G154" i="2" s="1"/>
  <c r="F152" i="2"/>
  <c r="F154" i="2" s="1"/>
  <c r="E152" i="2"/>
  <c r="E154" i="2" s="1"/>
  <c r="D152" i="2"/>
  <c r="D154" i="2" s="1"/>
  <c r="C152" i="2"/>
  <c r="C154" i="2" s="1"/>
  <c r="B152" i="2"/>
  <c r="B154" i="2" s="1"/>
  <c r="AC132" i="2"/>
  <c r="AB132" i="2"/>
  <c r="AA132" i="2"/>
  <c r="Z132" i="2"/>
  <c r="Z152" i="2" s="1"/>
  <c r="Z154" i="2" s="1"/>
  <c r="Y132" i="2"/>
  <c r="X132" i="2"/>
  <c r="W132" i="2"/>
  <c r="W152" i="2" s="1"/>
  <c r="W154" i="2" s="1"/>
  <c r="V132" i="2"/>
  <c r="V152" i="2" s="1"/>
  <c r="V154" i="2" s="1"/>
  <c r="H134" i="2"/>
  <c r="AH122" i="2"/>
  <c r="AG122" i="2"/>
  <c r="AF122" i="2"/>
  <c r="M122" i="2"/>
  <c r="AH106" i="2"/>
  <c r="AH152" i="2" s="1"/>
  <c r="AH154" i="2" s="1"/>
  <c r="AE108" i="2"/>
  <c r="AD108" i="2"/>
  <c r="AD152" i="2" s="1"/>
  <c r="AD154" i="2" s="1"/>
  <c r="AC108" i="2"/>
  <c r="AC152" i="2" s="1"/>
  <c r="AC154" i="2" s="1"/>
  <c r="AB108" i="2"/>
  <c r="AB152" i="2" s="1"/>
  <c r="AB154" i="2" s="1"/>
  <c r="AA108" i="2"/>
  <c r="M108" i="2"/>
  <c r="U87" i="2"/>
  <c r="U156" i="2" s="1"/>
  <c r="K87" i="2"/>
  <c r="E87" i="2"/>
  <c r="E156" i="2" s="1"/>
  <c r="AG85" i="2"/>
  <c r="AF85" i="2"/>
  <c r="AF87" i="2" s="1"/>
  <c r="AF156" i="2" s="1"/>
  <c r="S85" i="2"/>
  <c r="R85" i="2"/>
  <c r="R87" i="2" s="1"/>
  <c r="R156" i="2" s="1"/>
  <c r="R158" i="2" s="1"/>
  <c r="Q85" i="2"/>
  <c r="Q87" i="2" s="1"/>
  <c r="Q156" i="2" s="1"/>
  <c r="Q158" i="2" s="1"/>
  <c r="P85" i="2"/>
  <c r="P87" i="2" s="1"/>
  <c r="P156" i="2" s="1"/>
  <c r="P158" i="2" s="1"/>
  <c r="O85" i="2"/>
  <c r="N85" i="2"/>
  <c r="N87" i="2" s="1"/>
  <c r="N156" i="2" s="1"/>
  <c r="N158" i="2" s="1"/>
  <c r="L85" i="2"/>
  <c r="L87" i="2" s="1"/>
  <c r="L156" i="2" s="1"/>
  <c r="L158" i="2" s="1"/>
  <c r="J85" i="2"/>
  <c r="J87" i="2" s="1"/>
  <c r="J156" i="2" s="1"/>
  <c r="J158" i="2" s="1"/>
  <c r="G85" i="2"/>
  <c r="C85" i="2"/>
  <c r="B85" i="2"/>
  <c r="B87" i="2" s="1"/>
  <c r="B156" i="2" s="1"/>
  <c r="B158" i="2" s="1"/>
  <c r="AH75" i="2"/>
  <c r="AH85" i="2" s="1"/>
  <c r="T75" i="2"/>
  <c r="T85" i="2" s="1"/>
  <c r="T87" i="2" s="1"/>
  <c r="T156" i="2" s="1"/>
  <c r="H69" i="2"/>
  <c r="H85" i="2" s="1"/>
  <c r="F69" i="2"/>
  <c r="F85" i="2" s="1"/>
  <c r="F87" i="2" s="1"/>
  <c r="F156" i="2" s="1"/>
  <c r="F158" i="2" s="1"/>
  <c r="D69" i="2"/>
  <c r="D85" i="2" s="1"/>
  <c r="AE20" i="2"/>
  <c r="AE85" i="2" s="1"/>
  <c r="AD20" i="2"/>
  <c r="AD85" i="2" s="1"/>
  <c r="AC20" i="2"/>
  <c r="AC85" i="2" s="1"/>
  <c r="AB20" i="2"/>
  <c r="AB85" i="2" s="1"/>
  <c r="AA20" i="2"/>
  <c r="AA85" i="2" s="1"/>
  <c r="Z20" i="2"/>
  <c r="Z85" i="2" s="1"/>
  <c r="Y20" i="2"/>
  <c r="Y85" i="2" s="1"/>
  <c r="X20" i="2"/>
  <c r="X85" i="2" s="1"/>
  <c r="W20" i="2"/>
  <c r="W85" i="2" s="1"/>
  <c r="V20" i="2"/>
  <c r="V85" i="2" s="1"/>
  <c r="I16" i="2"/>
  <c r="I85" i="2" s="1"/>
  <c r="M10" i="2"/>
  <c r="M85" i="2" s="1"/>
  <c r="Z219" i="6" l="1"/>
  <c r="BD219" i="6"/>
  <c r="AL219" i="6"/>
  <c r="B219" i="6"/>
  <c r="S213" i="6"/>
  <c r="S215" i="6" s="1"/>
  <c r="S219" i="6" s="1"/>
  <c r="R219" i="6"/>
  <c r="F166" i="4"/>
  <c r="E166" i="4"/>
  <c r="AT194" i="9"/>
  <c r="B166" i="4"/>
  <c r="E158" i="2"/>
  <c r="T158" i="2"/>
  <c r="M152" i="2"/>
  <c r="M154" i="2" s="1"/>
  <c r="D116" i="7"/>
  <c r="D118" i="7" s="1"/>
  <c r="D122" i="7" s="1"/>
  <c r="T122" i="7"/>
  <c r="F194" i="9"/>
  <c r="AN194" i="9"/>
  <c r="R160" i="4"/>
  <c r="R162" i="4" s="1"/>
  <c r="Q162" i="4"/>
  <c r="T160" i="4"/>
  <c r="T162" i="4" s="1"/>
  <c r="S162" i="4"/>
  <c r="D166" i="4"/>
  <c r="C166" i="4"/>
  <c r="U158" i="2"/>
  <c r="R73" i="4"/>
  <c r="R75" i="4" s="1"/>
  <c r="R164" i="4" s="1"/>
  <c r="Q75" i="4"/>
  <c r="Q164" i="4" s="1"/>
  <c r="T73" i="4"/>
  <c r="T75" i="4" s="1"/>
  <c r="T164" i="4" s="1"/>
  <c r="S75" i="4"/>
  <c r="S164" i="4" s="1"/>
  <c r="AA152" i="2"/>
  <c r="AA154" i="2" s="1"/>
  <c r="H152" i="2"/>
  <c r="H154" i="2" s="1"/>
  <c r="X152" i="2"/>
  <c r="X154" i="2" s="1"/>
  <c r="AF152" i="2"/>
  <c r="AF154" i="2" s="1"/>
  <c r="Y152" i="2"/>
  <c r="Y154" i="2" s="1"/>
  <c r="AG152" i="2"/>
  <c r="AG154" i="2" s="1"/>
  <c r="AE152" i="2"/>
  <c r="AE154" i="2" s="1"/>
  <c r="C87" i="2"/>
  <c r="C156" i="2" s="1"/>
  <c r="C158" i="2" s="1"/>
  <c r="G87" i="2"/>
  <c r="G156" i="2" s="1"/>
  <c r="G158" i="2" s="1"/>
  <c r="W87" i="2"/>
  <c r="W156" i="2" s="1"/>
  <c r="W158" i="2" s="1"/>
  <c r="AB87" i="2"/>
  <c r="AB156" i="2" s="1"/>
  <c r="AB158" i="2" s="1"/>
  <c r="AH87" i="2"/>
  <c r="AH156" i="2" s="1"/>
  <c r="AH158" i="2" s="1"/>
  <c r="I87" i="2"/>
  <c r="I156" i="2" s="1"/>
  <c r="I158" i="2" s="1"/>
  <c r="Y87" i="2"/>
  <c r="Y156" i="2" s="1"/>
  <c r="AC87" i="2"/>
  <c r="AC156" i="2" s="1"/>
  <c r="AC158" i="2" s="1"/>
  <c r="AA87" i="2"/>
  <c r="AA156" i="2" s="1"/>
  <c r="AE87" i="2"/>
  <c r="AE156" i="2" s="1"/>
  <c r="M87" i="2"/>
  <c r="M156" i="2" s="1"/>
  <c r="X87" i="2"/>
  <c r="X156" i="2" s="1"/>
  <c r="X158" i="2" s="1"/>
  <c r="D87" i="2"/>
  <c r="D156" i="2" s="1"/>
  <c r="D158" i="2" s="1"/>
  <c r="V87" i="2"/>
  <c r="V156" i="2" s="1"/>
  <c r="V158" i="2" s="1"/>
  <c r="Z87" i="2"/>
  <c r="Z156" i="2" s="1"/>
  <c r="Z158" i="2" s="1"/>
  <c r="AD87" i="2"/>
  <c r="AD156" i="2" s="1"/>
  <c r="AD158" i="2" s="1"/>
  <c r="H87" i="2"/>
  <c r="H156" i="2" s="1"/>
  <c r="O87" i="2"/>
  <c r="O156" i="2" s="1"/>
  <c r="O158" i="2" s="1"/>
  <c r="AG87" i="2"/>
  <c r="AG156" i="2" s="1"/>
  <c r="S87" i="2"/>
  <c r="S156" i="2" s="1"/>
  <c r="S158" i="2" s="1"/>
  <c r="R166" i="4" l="1"/>
  <c r="AA158" i="2"/>
  <c r="M158" i="2"/>
  <c r="AE158" i="2"/>
  <c r="Y158" i="2"/>
  <c r="H158" i="2"/>
  <c r="S166" i="4"/>
  <c r="T166" i="4"/>
  <c r="Q166" i="4"/>
  <c r="AG158" i="2"/>
  <c r="AF158" i="2"/>
</calcChain>
</file>

<file path=xl/comments1.xml><?xml version="1.0" encoding="utf-8"?>
<comments xmlns="http://schemas.openxmlformats.org/spreadsheetml/2006/main">
  <authors>
    <author>Author</author>
  </authors>
  <commentList>
    <comment ref="B4" authorId="0" shapeId="0">
      <text>
        <r>
          <rPr>
            <b/>
            <sz val="9"/>
            <color indexed="81"/>
            <rFont val="Tahoma"/>
            <family val="2"/>
          </rPr>
          <t>Author:</t>
        </r>
        <r>
          <rPr>
            <sz val="9"/>
            <color indexed="81"/>
            <rFont val="Tahoma"/>
            <family val="2"/>
          </rPr>
          <t xml:space="preserve">
calendar year</t>
        </r>
      </text>
    </comment>
    <comment ref="C4" authorId="0" shapeId="0">
      <text>
        <r>
          <rPr>
            <b/>
            <sz val="9"/>
            <color indexed="81"/>
            <rFont val="Tahoma"/>
            <family val="2"/>
          </rPr>
          <t>Author:</t>
        </r>
        <r>
          <rPr>
            <sz val="9"/>
            <color indexed="81"/>
            <rFont val="Tahoma"/>
            <family val="2"/>
          </rPr>
          <t xml:space="preserve">
calendar year</t>
        </r>
      </text>
    </comment>
    <comment ref="D4" authorId="0" shapeId="0">
      <text>
        <r>
          <rPr>
            <b/>
            <sz val="9"/>
            <color indexed="81"/>
            <rFont val="Tahoma"/>
            <family val="2"/>
          </rPr>
          <t>Author:</t>
        </r>
        <r>
          <rPr>
            <sz val="9"/>
            <color indexed="81"/>
            <rFont val="Tahoma"/>
            <family val="2"/>
          </rPr>
          <t xml:space="preserve">
calendar year</t>
        </r>
      </text>
    </comment>
    <comment ref="E4" authorId="0" shapeId="0">
      <text>
        <r>
          <rPr>
            <b/>
            <sz val="9"/>
            <color indexed="81"/>
            <rFont val="Tahoma"/>
            <family val="2"/>
          </rPr>
          <t>Author:</t>
        </r>
        <r>
          <rPr>
            <sz val="9"/>
            <color indexed="81"/>
            <rFont val="Tahoma"/>
            <family val="2"/>
          </rPr>
          <t xml:space="preserve">
calendar year</t>
        </r>
      </text>
    </comment>
    <comment ref="F4" authorId="0" shapeId="0">
      <text>
        <r>
          <rPr>
            <b/>
            <sz val="9"/>
            <color indexed="81"/>
            <rFont val="Tahoma"/>
            <family val="2"/>
          </rPr>
          <t>Author:</t>
        </r>
        <r>
          <rPr>
            <sz val="9"/>
            <color indexed="81"/>
            <rFont val="Tahoma"/>
            <family val="2"/>
          </rPr>
          <t xml:space="preserve">
calendar year</t>
        </r>
      </text>
    </comment>
    <comment ref="C5" authorId="0" shapeId="0">
      <text>
        <r>
          <rPr>
            <b/>
            <sz val="8"/>
            <color indexed="81"/>
            <rFont val="Tahoma"/>
            <family val="2"/>
          </rPr>
          <t>Author:</t>
        </r>
        <r>
          <rPr>
            <sz val="8"/>
            <color indexed="81"/>
            <rFont val="Tahoma"/>
            <family val="2"/>
          </rPr>
          <t xml:space="preserve">
no day of the month, but month and year are recorded. </t>
        </r>
      </text>
    </comment>
    <comment ref="P5" authorId="0" shapeId="0">
      <text>
        <r>
          <rPr>
            <b/>
            <sz val="8"/>
            <color indexed="81"/>
            <rFont val="Tahoma"/>
            <family val="2"/>
          </rPr>
          <t>Author:</t>
        </r>
        <r>
          <rPr>
            <sz val="8"/>
            <color indexed="81"/>
            <rFont val="Tahoma"/>
            <family val="2"/>
          </rPr>
          <t xml:space="preserve">
no day of the month, but month and year are recorded. </t>
        </r>
      </text>
    </comment>
    <comment ref="B11" authorId="0" shapeId="0">
      <text>
        <r>
          <rPr>
            <b/>
            <sz val="8"/>
            <color indexed="81"/>
            <rFont val="Tahoma"/>
            <family val="2"/>
          </rPr>
          <t>Author:</t>
        </r>
        <r>
          <rPr>
            <sz val="8"/>
            <color indexed="81"/>
            <rFont val="Tahoma"/>
            <family val="2"/>
          </rPr>
          <t xml:space="preserve">
afericao de 49 Casas de Negocios, @ 1$500 per business.</t>
        </r>
      </text>
    </comment>
    <comment ref="B12" authorId="0" shapeId="0">
      <text>
        <r>
          <rPr>
            <b/>
            <sz val="8"/>
            <color indexed="81"/>
            <rFont val="Tahoma"/>
            <family val="2"/>
          </rPr>
          <t>Author:</t>
        </r>
        <r>
          <rPr>
            <sz val="8"/>
            <color indexed="81"/>
            <rFont val="Tahoma"/>
            <family val="2"/>
          </rPr>
          <t xml:space="preserve">
160 reis por canada</t>
        </r>
      </text>
    </comment>
    <comment ref="C12" authorId="0" shapeId="0">
      <text>
        <r>
          <rPr>
            <b/>
            <sz val="8"/>
            <color indexed="81"/>
            <rFont val="Tahoma"/>
            <family val="2"/>
          </rPr>
          <t>Author:</t>
        </r>
        <r>
          <rPr>
            <sz val="8"/>
            <color indexed="81"/>
            <rFont val="Tahoma"/>
            <family val="2"/>
          </rPr>
          <t xml:space="preserve">
160 reis por canada</t>
        </r>
      </text>
    </comment>
    <comment ref="F12" authorId="0" shapeId="0">
      <text>
        <r>
          <rPr>
            <b/>
            <sz val="8"/>
            <color indexed="81"/>
            <rFont val="Tahoma"/>
            <family val="2"/>
          </rPr>
          <t>Author:</t>
        </r>
        <r>
          <rPr>
            <sz val="8"/>
            <color indexed="81"/>
            <rFont val="Tahoma"/>
            <family val="2"/>
          </rPr>
          <t xml:space="preserve">
160 reis por canada</t>
        </r>
      </text>
    </comment>
    <comment ref="G12" authorId="0" shapeId="0">
      <text>
        <r>
          <rPr>
            <b/>
            <sz val="8"/>
            <color indexed="81"/>
            <rFont val="Tahoma"/>
            <family val="2"/>
          </rPr>
          <t>Author:</t>
        </r>
        <r>
          <rPr>
            <sz val="8"/>
            <color indexed="81"/>
            <rFont val="Tahoma"/>
            <family val="2"/>
          </rPr>
          <t xml:space="preserve">
160 reis por canada</t>
        </r>
      </text>
    </comment>
    <comment ref="J12" authorId="0" shapeId="0">
      <text>
        <r>
          <rPr>
            <b/>
            <sz val="8"/>
            <color indexed="81"/>
            <rFont val="Tahoma"/>
            <family val="2"/>
          </rPr>
          <t>Author:</t>
        </r>
        <r>
          <rPr>
            <sz val="8"/>
            <color indexed="81"/>
            <rFont val="Tahoma"/>
            <family val="2"/>
          </rPr>
          <t xml:space="preserve">
tax of 160 reis per liter sold in the city per art 24 of posturas of 21 may 1866</t>
        </r>
      </text>
    </comment>
    <comment ref="L12" authorId="0" shapeId="0">
      <text>
        <r>
          <rPr>
            <b/>
            <sz val="8"/>
            <color indexed="81"/>
            <rFont val="Tahoma"/>
            <family val="2"/>
          </rPr>
          <t>Author:</t>
        </r>
        <r>
          <rPr>
            <sz val="8"/>
            <color indexed="81"/>
            <rFont val="Tahoma"/>
            <family val="2"/>
          </rPr>
          <t xml:space="preserve">
tax of 160 reis per liter sold in the city per art 24 of posturas of 21 may 1866</t>
        </r>
      </text>
    </comment>
    <comment ref="M12" authorId="0" shapeId="0">
      <text>
        <r>
          <rPr>
            <b/>
            <sz val="8"/>
            <color indexed="81"/>
            <rFont val="Tahoma"/>
            <family val="2"/>
          </rPr>
          <t>Author:</t>
        </r>
        <r>
          <rPr>
            <sz val="8"/>
            <color indexed="81"/>
            <rFont val="Tahoma"/>
            <family val="2"/>
          </rPr>
          <t xml:space="preserve">
tax of 160 reis "por entrada" per liter sold in the city per art 24 of posturas of 21 may 1866</t>
        </r>
      </text>
    </comment>
    <comment ref="N12" authorId="0" shapeId="0">
      <text>
        <r>
          <rPr>
            <b/>
            <sz val="8"/>
            <color indexed="81"/>
            <rFont val="Tahoma"/>
            <family val="2"/>
          </rPr>
          <t>Author:</t>
        </r>
        <r>
          <rPr>
            <sz val="8"/>
            <color indexed="81"/>
            <rFont val="Tahoma"/>
            <family val="2"/>
          </rPr>
          <t xml:space="preserve">
tax per liter sold in the city per art 24 of posturas of 21 may 1866</t>
        </r>
      </text>
    </comment>
    <comment ref="O12" authorId="0" shapeId="0">
      <text>
        <r>
          <rPr>
            <b/>
            <sz val="8"/>
            <color indexed="81"/>
            <rFont val="Tahoma"/>
            <family val="2"/>
          </rPr>
          <t>Author:</t>
        </r>
        <r>
          <rPr>
            <sz val="8"/>
            <color indexed="81"/>
            <rFont val="Tahoma"/>
            <family val="2"/>
          </rPr>
          <t xml:space="preserve">
tax per liter sold in the city per art 24 of posturas of 21 may 1866</t>
        </r>
      </text>
    </comment>
    <comment ref="P12" authorId="0" shapeId="0">
      <text>
        <r>
          <rPr>
            <b/>
            <sz val="8"/>
            <color indexed="81"/>
            <rFont val="Tahoma"/>
            <family val="2"/>
          </rPr>
          <t>Author:</t>
        </r>
        <r>
          <rPr>
            <sz val="8"/>
            <color indexed="81"/>
            <rFont val="Tahoma"/>
            <family val="2"/>
          </rPr>
          <t xml:space="preserve">
tax per liter sold in the city per art 24 of posturas of 21 may 1866</t>
        </r>
      </text>
    </comment>
    <comment ref="Q12" authorId="0" shapeId="0">
      <text>
        <r>
          <rPr>
            <b/>
            <sz val="8"/>
            <color indexed="81"/>
            <rFont val="Tahoma"/>
            <family val="2"/>
          </rPr>
          <t>Author:</t>
        </r>
        <r>
          <rPr>
            <sz val="8"/>
            <color indexed="81"/>
            <rFont val="Tahoma"/>
            <family val="2"/>
          </rPr>
          <t xml:space="preserve">
tax per liter sold in the city per art 24 of post of 21 may 1866</t>
        </r>
      </text>
    </comment>
    <comment ref="A13" authorId="0" shapeId="0">
      <text>
        <r>
          <rPr>
            <b/>
            <sz val="8"/>
            <color indexed="81"/>
            <rFont val="Tahoma"/>
            <family val="2"/>
          </rPr>
          <t>Author:</t>
        </r>
        <r>
          <rPr>
            <sz val="8"/>
            <color indexed="81"/>
            <rFont val="Tahoma"/>
            <family val="2"/>
          </rPr>
          <t xml:space="preserve">
Lei Provincial 4 March 1840 and 16 March 1846  </t>
        </r>
      </text>
    </comment>
    <comment ref="P18" authorId="0" shapeId="0">
      <text>
        <r>
          <rPr>
            <b/>
            <sz val="8"/>
            <color indexed="81"/>
            <rFont val="Tahoma"/>
            <family val="2"/>
          </rPr>
          <t>Author:</t>
        </r>
        <r>
          <rPr>
            <sz val="8"/>
            <color indexed="81"/>
            <rFont val="Tahoma"/>
            <family val="2"/>
          </rPr>
          <t xml:space="preserve">
imposto de 10$000 reis sobre lojas, armasens, armarinho, tabernas.</t>
        </r>
      </text>
    </comment>
    <comment ref="V20" authorId="0" shapeId="0">
      <text>
        <r>
          <rPr>
            <b/>
            <sz val="8"/>
            <color indexed="81"/>
            <rFont val="Tahoma"/>
            <family val="2"/>
          </rPr>
          <t>Author:</t>
        </r>
        <r>
          <rPr>
            <sz val="8"/>
            <color indexed="81"/>
            <rFont val="Tahoma"/>
            <family val="2"/>
          </rPr>
          <t xml:space="preserve">
Imposto novo, and imposto on carnes verdes</t>
        </r>
      </text>
    </comment>
    <comment ref="P26" authorId="0" shapeId="0">
      <text>
        <r>
          <rPr>
            <b/>
            <sz val="8"/>
            <color indexed="81"/>
            <rFont val="Tahoma"/>
            <family val="2"/>
          </rPr>
          <t>Author:</t>
        </r>
        <r>
          <rPr>
            <sz val="8"/>
            <color indexed="81"/>
            <rFont val="Tahoma"/>
            <family val="2"/>
          </rPr>
          <t xml:space="preserve">
abertura de negocio na estrada</t>
        </r>
      </text>
    </comment>
    <comment ref="AF26" authorId="0" shapeId="0">
      <text>
        <r>
          <rPr>
            <b/>
            <sz val="8"/>
            <color indexed="81"/>
            <rFont val="Tahoma"/>
            <family val="2"/>
          </rPr>
          <t>Author:</t>
        </r>
        <r>
          <rPr>
            <sz val="8"/>
            <color indexed="81"/>
            <rFont val="Tahoma"/>
            <family val="2"/>
          </rPr>
          <t xml:space="preserve">
This specifies: and in the proximity of the train stations.  "fora dos limites da cidade e nas proximidades de Estacoes da Linha Ferrea."</t>
        </r>
      </text>
    </comment>
    <comment ref="A30" authorId="0" shapeId="0">
      <text>
        <r>
          <rPr>
            <b/>
            <sz val="8"/>
            <color indexed="81"/>
            <rFont val="Tahoma"/>
            <family val="2"/>
          </rPr>
          <t>Author:</t>
        </r>
        <r>
          <rPr>
            <sz val="8"/>
            <color indexed="81"/>
            <rFont val="Tahoma"/>
            <family val="2"/>
          </rPr>
          <t xml:space="preserve">
lei provincial no 7 de 23 marco 1835 art 33 of orcamento de 26 marco 1840 and 22 april 1865</t>
        </r>
      </text>
    </comment>
    <comment ref="H30" authorId="0" shapeId="0">
      <text>
        <r>
          <rPr>
            <b/>
            <sz val="8"/>
            <color indexed="81"/>
            <rFont val="Tahoma"/>
            <family val="2"/>
          </rPr>
          <t>Author:</t>
        </r>
        <r>
          <rPr>
            <sz val="8"/>
            <color indexed="81"/>
            <rFont val="Tahoma"/>
            <family val="2"/>
          </rPr>
          <t xml:space="preserve">
This account registered 127$004  this year, but AFTER the muni balance, so it does not look like it belonged to the muni this year.  Probably part of the allocation of this tax line back and forth between the province and municipality that Viviane Tessitore documents in her these.</t>
        </r>
      </text>
    </comment>
    <comment ref="B31" authorId="0" shapeId="0">
      <text>
        <r>
          <rPr>
            <b/>
            <sz val="8"/>
            <color indexed="81"/>
            <rFont val="Tahoma"/>
            <family val="2"/>
          </rPr>
          <t>Author:</t>
        </r>
        <r>
          <rPr>
            <sz val="8"/>
            <color indexed="81"/>
            <rFont val="Tahoma"/>
            <family val="2"/>
          </rPr>
          <t xml:space="preserve">
@4$000 annually, so three cars in town.</t>
        </r>
      </text>
    </comment>
    <comment ref="AF31" authorId="0" shapeId="0">
      <text>
        <r>
          <rPr>
            <b/>
            <sz val="8"/>
            <color indexed="81"/>
            <rFont val="Tahoma"/>
            <family val="2"/>
          </rPr>
          <t>Author:</t>
        </r>
        <r>
          <rPr>
            <sz val="8"/>
            <color indexed="81"/>
            <rFont val="Tahoma"/>
            <family val="2"/>
          </rPr>
          <t xml:space="preserve">
This is not a typo on my part.  I did not transcribe the numbers.</t>
        </r>
      </text>
    </comment>
    <comment ref="B32" authorId="0" shapeId="0">
      <text>
        <r>
          <rPr>
            <b/>
            <sz val="8"/>
            <color indexed="81"/>
            <rFont val="Tahoma"/>
            <family val="2"/>
          </rPr>
          <t>Author:</t>
        </r>
        <r>
          <rPr>
            <sz val="8"/>
            <color indexed="81"/>
            <rFont val="Tahoma"/>
            <family val="2"/>
          </rPr>
          <t xml:space="preserve">
tax pf 4$000 per licence on 29 businesses</t>
        </r>
      </text>
    </comment>
    <comment ref="A51" authorId="0" shapeId="0">
      <text>
        <r>
          <rPr>
            <b/>
            <sz val="8"/>
            <color indexed="81"/>
            <rFont val="Tahoma"/>
            <family val="2"/>
          </rPr>
          <t>Author:</t>
        </r>
        <r>
          <rPr>
            <sz val="8"/>
            <color indexed="81"/>
            <rFont val="Tahoma"/>
            <family val="2"/>
          </rPr>
          <t xml:space="preserve">
provincial law of 6 March 1840 and 16 March 1846</t>
        </r>
      </text>
    </comment>
    <comment ref="B51" authorId="0" shapeId="0">
      <text>
        <r>
          <rPr>
            <b/>
            <sz val="8"/>
            <color indexed="81"/>
            <rFont val="Tahoma"/>
            <family val="2"/>
          </rPr>
          <t>Author:</t>
        </r>
        <r>
          <rPr>
            <sz val="8"/>
            <color indexed="81"/>
            <rFont val="Tahoma"/>
            <family val="2"/>
          </rPr>
          <t xml:space="preserve">
tax of 6$400 on 38 almarens [sic] e tabernas</t>
        </r>
      </text>
    </comment>
    <comment ref="H51" authorId="0" shapeId="0">
      <text>
        <r>
          <rPr>
            <b/>
            <sz val="8"/>
            <color indexed="81"/>
            <rFont val="Tahoma"/>
            <family val="2"/>
          </rPr>
          <t>Author:</t>
        </r>
        <r>
          <rPr>
            <sz val="8"/>
            <color indexed="81"/>
            <rFont val="Tahoma"/>
            <family val="2"/>
          </rPr>
          <t xml:space="preserve">
This account registered 38$720 this year, but AFTER the muni balance, so it does not look like it belonged to the muni this year.  Probably part of the back and forth that Viviane documents in her these.</t>
        </r>
      </text>
    </comment>
    <comment ref="I55" authorId="0" shapeId="0">
      <text>
        <r>
          <rPr>
            <b/>
            <sz val="8"/>
            <color indexed="81"/>
            <rFont val="Tahoma"/>
            <family val="2"/>
          </rPr>
          <t>Author:</t>
        </r>
        <r>
          <rPr>
            <sz val="8"/>
            <color indexed="81"/>
            <rFont val="Tahoma"/>
            <family val="2"/>
          </rPr>
          <t xml:space="preserve">
500 reis per head of pork, article 75 paragraph 1 of 1865 posturas</t>
        </r>
      </text>
    </comment>
    <comment ref="A56" authorId="0" shapeId="0">
      <text>
        <r>
          <rPr>
            <b/>
            <sz val="8"/>
            <color indexed="81"/>
            <rFont val="Tahoma"/>
            <family val="2"/>
          </rPr>
          <t>Author:</t>
        </r>
        <r>
          <rPr>
            <sz val="8"/>
            <color indexed="81"/>
            <rFont val="Tahoma"/>
            <family val="2"/>
          </rPr>
          <t xml:space="preserve">
Provincial Law of 22 April 1865</t>
        </r>
      </text>
    </comment>
    <comment ref="C59" authorId="0" shapeId="0">
      <text>
        <r>
          <rPr>
            <b/>
            <sz val="8"/>
            <color indexed="81"/>
            <rFont val="Tahoma"/>
            <family val="2"/>
          </rPr>
          <t>Author:</t>
        </r>
        <r>
          <rPr>
            <sz val="8"/>
            <color indexed="81"/>
            <rFont val="Tahoma"/>
            <family val="2"/>
          </rPr>
          <t xml:space="preserve">
160 reis per head</t>
        </r>
      </text>
    </comment>
    <comment ref="D59" authorId="0" shapeId="0">
      <text>
        <r>
          <rPr>
            <b/>
            <sz val="8"/>
            <color indexed="81"/>
            <rFont val="Tahoma"/>
            <family val="2"/>
          </rPr>
          <t>Author:</t>
        </r>
        <r>
          <rPr>
            <sz val="8"/>
            <color indexed="81"/>
            <rFont val="Tahoma"/>
            <family val="2"/>
          </rPr>
          <t xml:space="preserve">
160 reis per head</t>
        </r>
      </text>
    </comment>
    <comment ref="F59" authorId="0" shapeId="0">
      <text>
        <r>
          <rPr>
            <b/>
            <sz val="8"/>
            <color indexed="81"/>
            <rFont val="Tahoma"/>
            <family val="2"/>
          </rPr>
          <t>Author:</t>
        </r>
        <r>
          <rPr>
            <sz val="8"/>
            <color indexed="81"/>
            <rFont val="Tahoma"/>
            <family val="2"/>
          </rPr>
          <t xml:space="preserve">
160 reis per head</t>
        </r>
      </text>
    </comment>
    <comment ref="G59" authorId="0" shapeId="0">
      <text>
        <r>
          <rPr>
            <b/>
            <sz val="8"/>
            <color indexed="81"/>
            <rFont val="Tahoma"/>
            <family val="2"/>
          </rPr>
          <t>Author:</t>
        </r>
        <r>
          <rPr>
            <sz val="8"/>
            <color indexed="81"/>
            <rFont val="Tahoma"/>
            <family val="2"/>
          </rPr>
          <t xml:space="preserve">
160 reis per head</t>
        </r>
      </text>
    </comment>
    <comment ref="I59" authorId="0" shapeId="0">
      <text>
        <r>
          <rPr>
            <b/>
            <sz val="8"/>
            <color indexed="81"/>
            <rFont val="Tahoma"/>
            <family val="2"/>
          </rPr>
          <t>Author:</t>
        </r>
        <r>
          <rPr>
            <sz val="8"/>
            <color indexed="81"/>
            <rFont val="Tahoma"/>
            <family val="2"/>
          </rPr>
          <t xml:space="preserve">
tax of 800 reis per head of cattle cut in the city, article 75 of Poturas of 25 marco 1865</t>
        </r>
      </text>
    </comment>
    <comment ref="L59" authorId="0" shapeId="0">
      <text>
        <r>
          <rPr>
            <b/>
            <sz val="8"/>
            <color indexed="81"/>
            <rFont val="Tahoma"/>
            <family val="2"/>
          </rPr>
          <t>Author:</t>
        </r>
        <r>
          <rPr>
            <sz val="8"/>
            <color indexed="81"/>
            <rFont val="Tahoma"/>
            <family val="2"/>
          </rPr>
          <t xml:space="preserve">
tax of 800 reis per head of cattle cut in the city, art 75 of Poturas of 25 marco 1865</t>
        </r>
      </text>
    </comment>
    <comment ref="P60" authorId="0" shapeId="0">
      <text>
        <r>
          <rPr>
            <b/>
            <sz val="8"/>
            <color indexed="81"/>
            <rFont val="Tahoma"/>
            <family val="2"/>
          </rPr>
          <t>Author:</t>
        </r>
        <r>
          <rPr>
            <sz val="8"/>
            <color indexed="81"/>
            <rFont val="Tahoma"/>
            <family val="2"/>
          </rPr>
          <t xml:space="preserve">
500 reis per pig sold in the city and 800 reis per cattle slaughtered also in the city, per art 75 of posturas of 29 march 1865</t>
        </r>
      </text>
    </comment>
    <comment ref="B61" authorId="0" shapeId="0">
      <text>
        <r>
          <rPr>
            <b/>
            <sz val="8"/>
            <color indexed="81"/>
            <rFont val="Tahoma"/>
            <family val="2"/>
          </rPr>
          <t>Author:</t>
        </r>
        <r>
          <rPr>
            <sz val="8"/>
            <color indexed="81"/>
            <rFont val="Tahoma"/>
            <family val="2"/>
          </rPr>
          <t xml:space="preserve">
tax of 1$600 on 11  taverns in town and 1$000 on 7 taverns outside of town</t>
        </r>
      </text>
    </comment>
    <comment ref="A62" authorId="0" shapeId="0">
      <text>
        <r>
          <rPr>
            <b/>
            <sz val="8"/>
            <color indexed="81"/>
            <rFont val="Tahoma"/>
            <family val="2"/>
          </rPr>
          <t>Author:</t>
        </r>
        <r>
          <rPr>
            <sz val="8"/>
            <color indexed="81"/>
            <rFont val="Tahoma"/>
            <family val="2"/>
          </rPr>
          <t xml:space="preserve">
same resolution as the coffee tax one, #97 of 12 april 1887.</t>
        </r>
      </text>
    </comment>
    <comment ref="A63" authorId="0" shapeId="0">
      <text>
        <r>
          <rPr>
            <b/>
            <sz val="8"/>
            <color indexed="81"/>
            <rFont val="Tahoma"/>
            <family val="2"/>
          </rPr>
          <t>Author:</t>
        </r>
        <r>
          <rPr>
            <sz val="8"/>
            <color indexed="81"/>
            <rFont val="Tahoma"/>
            <family val="2"/>
          </rPr>
          <t xml:space="preserve">
provincial resolution no 97 of 12 April 1887, article 1.</t>
        </r>
      </text>
    </comment>
    <comment ref="AF63" authorId="0" shapeId="0">
      <text>
        <r>
          <rPr>
            <b/>
            <sz val="8"/>
            <color indexed="81"/>
            <rFont val="Tahoma"/>
            <family val="2"/>
          </rPr>
          <t>Author:</t>
        </r>
        <r>
          <rPr>
            <sz val="8"/>
            <color indexed="81"/>
            <rFont val="Tahoma"/>
            <family val="2"/>
          </rPr>
          <t xml:space="preserve">
approx 35,000 kilos</t>
        </r>
      </text>
    </comment>
    <comment ref="AG63" authorId="0" shapeId="0">
      <text>
        <r>
          <rPr>
            <b/>
            <sz val="8"/>
            <color indexed="81"/>
            <rFont val="Tahoma"/>
            <family val="2"/>
          </rPr>
          <t>Author:</t>
        </r>
        <r>
          <rPr>
            <sz val="8"/>
            <color indexed="81"/>
            <rFont val="Tahoma"/>
            <family val="2"/>
          </rPr>
          <t xml:space="preserve">
approx 23,000 kilos</t>
        </r>
      </text>
    </comment>
    <comment ref="AH63" authorId="0" shapeId="0">
      <text>
        <r>
          <rPr>
            <b/>
            <sz val="8"/>
            <color indexed="81"/>
            <rFont val="Tahoma"/>
            <family val="2"/>
          </rPr>
          <t>Author:</t>
        </r>
        <r>
          <rPr>
            <sz val="8"/>
            <color indexed="81"/>
            <rFont val="Tahoma"/>
            <family val="2"/>
          </rPr>
          <t xml:space="preserve">
Just 1600 kilos total!</t>
        </r>
      </text>
    </comment>
    <comment ref="A64" authorId="0" shapeId="0">
      <text>
        <r>
          <rPr>
            <b/>
            <sz val="8"/>
            <color indexed="81"/>
            <rFont val="Tahoma"/>
            <family val="2"/>
          </rPr>
          <t>Author:</t>
        </r>
        <r>
          <rPr>
            <sz val="8"/>
            <color indexed="81"/>
            <rFont val="Tahoma"/>
            <family val="2"/>
          </rPr>
          <t xml:space="preserve">
posturas municipais of 14 april 1888</t>
        </r>
      </text>
    </comment>
    <comment ref="H69" authorId="0" shapeId="0">
      <text>
        <r>
          <rPr>
            <b/>
            <sz val="8"/>
            <color indexed="81"/>
            <rFont val="Tahoma"/>
            <family val="2"/>
          </rPr>
          <t>Author:</t>
        </r>
        <r>
          <rPr>
            <sz val="8"/>
            <color indexed="81"/>
            <rFont val="Tahoma"/>
            <family val="2"/>
          </rPr>
          <t xml:space="preserve">
60$ is multas depuradas.  1$000 is infraction of article 17 of Posturas of 8 Feb 1830.  2$000 is infraction of article 2 of posturas of 11 Feb 1836.</t>
        </r>
      </text>
    </comment>
    <comment ref="AD73" authorId="0" shapeId="0">
      <text>
        <r>
          <rPr>
            <b/>
            <sz val="8"/>
            <color indexed="81"/>
            <rFont val="Tahoma"/>
            <family val="2"/>
          </rPr>
          <t>Author:</t>
        </r>
        <r>
          <rPr>
            <sz val="8"/>
            <color indexed="81"/>
            <rFont val="Tahoma"/>
            <family val="2"/>
          </rPr>
          <t xml:space="preserve">
including taxes on goods that enter the market.</t>
        </r>
      </text>
    </comment>
    <comment ref="T75" authorId="0" shapeId="0">
      <text>
        <r>
          <rPr>
            <b/>
            <sz val="8"/>
            <color indexed="81"/>
            <rFont val="Tahoma"/>
            <family val="2"/>
          </rPr>
          <t>Author:</t>
        </r>
        <r>
          <rPr>
            <sz val="8"/>
            <color indexed="81"/>
            <rFont val="Tahoma"/>
            <family val="2"/>
          </rPr>
          <t xml:space="preserve">
mostly "produto do antigo matadouro vendido por ordem da Camara, Lei 49 de 21 de Abril de 1875</t>
        </r>
      </text>
    </comment>
    <comment ref="B94" authorId="0" shapeId="0">
      <text>
        <r>
          <rPr>
            <b/>
            <sz val="9"/>
            <color indexed="81"/>
            <rFont val="Tahoma"/>
            <family val="2"/>
          </rPr>
          <t>Author:</t>
        </r>
        <r>
          <rPr>
            <sz val="9"/>
            <color indexed="81"/>
            <rFont val="Tahoma"/>
            <family val="2"/>
          </rPr>
          <t xml:space="preserve">
calendar year</t>
        </r>
      </text>
    </comment>
    <comment ref="C94" authorId="0" shapeId="0">
      <text>
        <r>
          <rPr>
            <b/>
            <sz val="9"/>
            <color indexed="81"/>
            <rFont val="Tahoma"/>
            <family val="2"/>
          </rPr>
          <t>Author:</t>
        </r>
        <r>
          <rPr>
            <sz val="9"/>
            <color indexed="81"/>
            <rFont val="Tahoma"/>
            <family val="2"/>
          </rPr>
          <t xml:space="preserve">
calendar year</t>
        </r>
      </text>
    </comment>
    <comment ref="D94" authorId="0" shapeId="0">
      <text>
        <r>
          <rPr>
            <b/>
            <sz val="9"/>
            <color indexed="81"/>
            <rFont val="Tahoma"/>
            <family val="2"/>
          </rPr>
          <t>Author:</t>
        </r>
        <r>
          <rPr>
            <sz val="9"/>
            <color indexed="81"/>
            <rFont val="Tahoma"/>
            <family val="2"/>
          </rPr>
          <t xml:space="preserve">
calendar year</t>
        </r>
      </text>
    </comment>
    <comment ref="E94" authorId="0" shapeId="0">
      <text>
        <r>
          <rPr>
            <b/>
            <sz val="9"/>
            <color indexed="81"/>
            <rFont val="Tahoma"/>
            <family val="2"/>
          </rPr>
          <t>Author:</t>
        </r>
        <r>
          <rPr>
            <sz val="9"/>
            <color indexed="81"/>
            <rFont val="Tahoma"/>
            <family val="2"/>
          </rPr>
          <t xml:space="preserve">
calendar year</t>
        </r>
      </text>
    </comment>
    <comment ref="F94" authorId="0" shapeId="0">
      <text>
        <r>
          <rPr>
            <b/>
            <sz val="9"/>
            <color indexed="81"/>
            <rFont val="Tahoma"/>
            <family val="2"/>
          </rPr>
          <t>Author:</t>
        </r>
        <r>
          <rPr>
            <sz val="9"/>
            <color indexed="81"/>
            <rFont val="Tahoma"/>
            <family val="2"/>
          </rPr>
          <t xml:space="preserve">
calendar year</t>
        </r>
      </text>
    </comment>
    <comment ref="C95" authorId="0" shapeId="0">
      <text>
        <r>
          <rPr>
            <b/>
            <sz val="8"/>
            <color indexed="81"/>
            <rFont val="Tahoma"/>
            <family val="2"/>
          </rPr>
          <t>Author:</t>
        </r>
        <r>
          <rPr>
            <sz val="8"/>
            <color indexed="81"/>
            <rFont val="Tahoma"/>
            <family val="2"/>
          </rPr>
          <t xml:space="preserve">
no day of the month, but month and year are recorded. </t>
        </r>
      </text>
    </comment>
    <comment ref="P95" authorId="0" shapeId="0">
      <text>
        <r>
          <rPr>
            <b/>
            <sz val="8"/>
            <color indexed="81"/>
            <rFont val="Tahoma"/>
            <family val="2"/>
          </rPr>
          <t>Author:</t>
        </r>
        <r>
          <rPr>
            <sz val="8"/>
            <color indexed="81"/>
            <rFont val="Tahoma"/>
            <family val="2"/>
          </rPr>
          <t xml:space="preserve">
no day of the month, but month and year are recorded. </t>
        </r>
      </text>
    </comment>
    <comment ref="AE104" authorId="0" shapeId="0">
      <text>
        <r>
          <rPr>
            <b/>
            <sz val="8"/>
            <color indexed="81"/>
            <rFont val="Tahoma"/>
            <family val="2"/>
          </rPr>
          <t>Author:</t>
        </r>
        <r>
          <rPr>
            <sz val="8"/>
            <color indexed="81"/>
            <rFont val="Tahoma"/>
            <family val="2"/>
          </rPr>
          <t xml:space="preserve">
30% of the quantities collected through the afericao of weights, measures, and scales.</t>
        </r>
      </text>
    </comment>
    <comment ref="AF104" authorId="0" shapeId="0">
      <text>
        <r>
          <rPr>
            <b/>
            <sz val="8"/>
            <color indexed="81"/>
            <rFont val="Tahoma"/>
            <family val="2"/>
          </rPr>
          <t>Author:</t>
        </r>
        <r>
          <rPr>
            <sz val="8"/>
            <color indexed="81"/>
            <rFont val="Tahoma"/>
            <family val="2"/>
          </rPr>
          <t xml:space="preserve">
30% of the quantities collected through the afericao of weights, measures, and scales.</t>
        </r>
      </text>
    </comment>
    <comment ref="AG104" authorId="0" shapeId="0">
      <text>
        <r>
          <rPr>
            <b/>
            <sz val="8"/>
            <color indexed="81"/>
            <rFont val="Tahoma"/>
            <family val="2"/>
          </rPr>
          <t>Author:</t>
        </r>
        <r>
          <rPr>
            <sz val="8"/>
            <color indexed="81"/>
            <rFont val="Tahoma"/>
            <family val="2"/>
          </rPr>
          <t xml:space="preserve">
30% of the quantities collected through the afericao of weights, measures, and scales.</t>
        </r>
      </text>
    </comment>
    <comment ref="AH104" authorId="0" shapeId="0">
      <text>
        <r>
          <rPr>
            <b/>
            <sz val="8"/>
            <color indexed="81"/>
            <rFont val="Tahoma"/>
            <family val="2"/>
          </rPr>
          <t>Author:</t>
        </r>
        <r>
          <rPr>
            <sz val="8"/>
            <color indexed="81"/>
            <rFont val="Tahoma"/>
            <family val="2"/>
          </rPr>
          <t xml:space="preserve">
30% of the quantities collected through the afericao of weights, measures, and scales.</t>
        </r>
      </text>
    </comment>
    <comment ref="A106" authorId="0" shapeId="0">
      <text>
        <r>
          <rPr>
            <b/>
            <sz val="8"/>
            <color indexed="81"/>
            <rFont val="Tahoma"/>
            <family val="2"/>
          </rPr>
          <t>Author:</t>
        </r>
        <r>
          <rPr>
            <sz val="8"/>
            <color indexed="81"/>
            <rFont val="Tahoma"/>
            <family val="2"/>
          </rPr>
          <t xml:space="preserve">
Position created in Prov Resolution #10 of 15 Feb 1888, article 1.  Responsible for public health.</t>
        </r>
      </text>
    </comment>
    <comment ref="AH106" authorId="0" shapeId="0">
      <text>
        <r>
          <rPr>
            <b/>
            <sz val="8"/>
            <color indexed="81"/>
            <rFont val="Tahoma"/>
            <family val="2"/>
          </rPr>
          <t>Author:</t>
        </r>
        <r>
          <rPr>
            <sz val="8"/>
            <color indexed="81"/>
            <rFont val="Tahoma"/>
            <family val="2"/>
          </rPr>
          <t xml:space="preserve">
His salary was raised to 1,300$000, and then he was paid an additional 1,000$000  to treat the poor variolosos in the Lazaretto per clause 15 of the municipal posturas of 15 feb 1888</t>
        </r>
      </text>
    </comment>
    <comment ref="I108" authorId="0" shapeId="0">
      <text>
        <r>
          <rPr>
            <b/>
            <sz val="8"/>
            <color indexed="81"/>
            <rFont val="Tahoma"/>
            <family val="2"/>
          </rPr>
          <t>Author:</t>
        </r>
        <r>
          <rPr>
            <sz val="8"/>
            <color indexed="81"/>
            <rFont val="Tahoma"/>
            <family val="2"/>
          </rPr>
          <t xml:space="preserve">
13$872 is for the prior year</t>
        </r>
      </text>
    </comment>
    <comment ref="AA108" authorId="0" shapeId="0">
      <text>
        <r>
          <rPr>
            <b/>
            <sz val="8"/>
            <color indexed="81"/>
            <rFont val="Tahoma"/>
            <family val="2"/>
          </rPr>
          <t>Author:</t>
        </r>
        <r>
          <rPr>
            <sz val="8"/>
            <color indexed="81"/>
            <rFont val="Tahoma"/>
            <family val="2"/>
          </rPr>
          <t xml:space="preserve">
10% bonus on top of 700$000 gratificacao</t>
        </r>
      </text>
    </comment>
    <comment ref="A109" authorId="0" shapeId="0">
      <text>
        <r>
          <rPr>
            <b/>
            <sz val="8"/>
            <color indexed="81"/>
            <rFont val="Tahoma"/>
            <family val="2"/>
          </rPr>
          <t>Author:</t>
        </r>
        <r>
          <rPr>
            <sz val="8"/>
            <color indexed="81"/>
            <rFont val="Tahoma"/>
            <family val="2"/>
          </rPr>
          <t xml:space="preserve">
position created in 1888 posturas</t>
        </r>
      </text>
    </comment>
    <comment ref="AF111" authorId="0" shapeId="0">
      <text>
        <r>
          <rPr>
            <b/>
            <sz val="8"/>
            <color indexed="81"/>
            <rFont val="Tahoma"/>
            <family val="2"/>
          </rPr>
          <t>Author:</t>
        </r>
        <r>
          <rPr>
            <sz val="8"/>
            <color indexed="81"/>
            <rFont val="Tahoma"/>
            <family val="2"/>
          </rPr>
          <t xml:space="preserve">
according to this entry, this is in the Posturas Municipais of 1865, although this is the first time it has appeared on the books.  I found the language in article 105 of Law 32 of 29 March 1865</t>
        </r>
      </text>
    </comment>
    <comment ref="AG111" authorId="0" shapeId="0">
      <text>
        <r>
          <rPr>
            <b/>
            <sz val="8"/>
            <color indexed="81"/>
            <rFont val="Tahoma"/>
            <family val="2"/>
          </rPr>
          <t>Author:</t>
        </r>
        <r>
          <rPr>
            <sz val="8"/>
            <color indexed="81"/>
            <rFont val="Tahoma"/>
            <family val="2"/>
          </rPr>
          <t xml:space="preserve">
10%</t>
        </r>
      </text>
    </comment>
    <comment ref="AH111" authorId="0" shapeId="0">
      <text>
        <r>
          <rPr>
            <b/>
            <sz val="8"/>
            <color indexed="81"/>
            <rFont val="Tahoma"/>
            <family val="2"/>
          </rPr>
          <t>Author:</t>
        </r>
        <r>
          <rPr>
            <sz val="8"/>
            <color indexed="81"/>
            <rFont val="Tahoma"/>
            <family val="2"/>
          </rPr>
          <t xml:space="preserve">
10%</t>
        </r>
      </text>
    </comment>
    <comment ref="I112" authorId="0" shapeId="0">
      <text>
        <r>
          <rPr>
            <b/>
            <sz val="8"/>
            <color indexed="81"/>
            <rFont val="Tahoma"/>
            <family val="2"/>
          </rPr>
          <t>Author:</t>
        </r>
        <r>
          <rPr>
            <sz val="8"/>
            <color indexed="81"/>
            <rFont val="Tahoma"/>
            <family val="2"/>
          </rPr>
          <t xml:space="preserve">
9$325 is for the prior year</t>
        </r>
      </text>
    </comment>
    <comment ref="H113" authorId="0" shapeId="0">
      <text>
        <r>
          <rPr>
            <b/>
            <sz val="8"/>
            <color indexed="81"/>
            <rFont val="Tahoma"/>
            <family val="2"/>
          </rPr>
          <t>Author:</t>
        </r>
        <r>
          <rPr>
            <sz val="8"/>
            <color indexed="81"/>
            <rFont val="Tahoma"/>
            <family val="2"/>
          </rPr>
          <t xml:space="preserve">
9%</t>
        </r>
      </text>
    </comment>
    <comment ref="I113" authorId="0" shapeId="0">
      <text>
        <r>
          <rPr>
            <b/>
            <sz val="8"/>
            <color indexed="81"/>
            <rFont val="Tahoma"/>
            <family val="2"/>
          </rPr>
          <t>Author:</t>
        </r>
        <r>
          <rPr>
            <sz val="8"/>
            <color indexed="81"/>
            <rFont val="Tahoma"/>
            <family val="2"/>
          </rPr>
          <t xml:space="preserve">
12% rate</t>
        </r>
      </text>
    </comment>
    <comment ref="J113" authorId="0" shapeId="0">
      <text>
        <r>
          <rPr>
            <b/>
            <sz val="8"/>
            <color indexed="81"/>
            <rFont val="Tahoma"/>
            <family val="2"/>
          </rPr>
          <t>Author:</t>
        </r>
        <r>
          <rPr>
            <sz val="8"/>
            <color indexed="81"/>
            <rFont val="Tahoma"/>
            <family val="2"/>
          </rPr>
          <t xml:space="preserve">
12% rate</t>
        </r>
      </text>
    </comment>
    <comment ref="L113" authorId="0" shapeId="0">
      <text>
        <r>
          <rPr>
            <b/>
            <sz val="8"/>
            <color indexed="81"/>
            <rFont val="Tahoma"/>
            <family val="2"/>
          </rPr>
          <t>Author:</t>
        </r>
        <r>
          <rPr>
            <sz val="8"/>
            <color indexed="81"/>
            <rFont val="Tahoma"/>
            <family val="2"/>
          </rPr>
          <t xml:space="preserve">
12% rate</t>
        </r>
      </text>
    </comment>
    <comment ref="M113" authorId="0" shapeId="0">
      <text>
        <r>
          <rPr>
            <b/>
            <sz val="8"/>
            <color indexed="81"/>
            <rFont val="Tahoma"/>
            <family val="2"/>
          </rPr>
          <t>Author:</t>
        </r>
        <r>
          <rPr>
            <sz val="8"/>
            <color indexed="81"/>
            <rFont val="Tahoma"/>
            <family val="2"/>
          </rPr>
          <t xml:space="preserve">
12% rate</t>
        </r>
      </text>
    </comment>
    <comment ref="N113" authorId="0" shapeId="0">
      <text>
        <r>
          <rPr>
            <b/>
            <sz val="8"/>
            <color indexed="81"/>
            <rFont val="Tahoma"/>
            <family val="2"/>
          </rPr>
          <t>Author:</t>
        </r>
        <r>
          <rPr>
            <sz val="8"/>
            <color indexed="81"/>
            <rFont val="Tahoma"/>
            <family val="2"/>
          </rPr>
          <t xml:space="preserve">
12% rate</t>
        </r>
      </text>
    </comment>
    <comment ref="O113" authorId="0" shapeId="0">
      <text>
        <r>
          <rPr>
            <b/>
            <sz val="8"/>
            <color indexed="81"/>
            <rFont val="Tahoma"/>
            <family val="2"/>
          </rPr>
          <t>Author:</t>
        </r>
        <r>
          <rPr>
            <sz val="8"/>
            <color indexed="81"/>
            <rFont val="Tahoma"/>
            <family val="2"/>
          </rPr>
          <t xml:space="preserve">
12% rate</t>
        </r>
      </text>
    </comment>
    <comment ref="P113" authorId="0" shapeId="0">
      <text>
        <r>
          <rPr>
            <b/>
            <sz val="8"/>
            <color indexed="81"/>
            <rFont val="Tahoma"/>
            <family val="2"/>
          </rPr>
          <t>Author:</t>
        </r>
        <r>
          <rPr>
            <sz val="8"/>
            <color indexed="81"/>
            <rFont val="Tahoma"/>
            <family val="2"/>
          </rPr>
          <t xml:space="preserve">
12% rate</t>
        </r>
      </text>
    </comment>
    <comment ref="Q113" authorId="0" shapeId="0">
      <text>
        <r>
          <rPr>
            <b/>
            <sz val="8"/>
            <color indexed="81"/>
            <rFont val="Tahoma"/>
            <family val="2"/>
          </rPr>
          <t>Author:</t>
        </r>
        <r>
          <rPr>
            <sz val="8"/>
            <color indexed="81"/>
            <rFont val="Tahoma"/>
            <family val="2"/>
          </rPr>
          <t xml:space="preserve">
12% rate</t>
        </r>
      </text>
    </comment>
    <comment ref="R113" authorId="0" shapeId="0">
      <text>
        <r>
          <rPr>
            <b/>
            <sz val="8"/>
            <color indexed="81"/>
            <rFont val="Tahoma"/>
            <family val="2"/>
          </rPr>
          <t>Author:</t>
        </r>
        <r>
          <rPr>
            <sz val="8"/>
            <color indexed="81"/>
            <rFont val="Tahoma"/>
            <family val="2"/>
          </rPr>
          <t xml:space="preserve">
12% rate</t>
        </r>
      </text>
    </comment>
    <comment ref="S113" authorId="0" shapeId="0">
      <text>
        <r>
          <rPr>
            <b/>
            <sz val="8"/>
            <color indexed="81"/>
            <rFont val="Tahoma"/>
            <family val="2"/>
          </rPr>
          <t>Author:</t>
        </r>
        <r>
          <rPr>
            <sz val="8"/>
            <color indexed="81"/>
            <rFont val="Tahoma"/>
            <family val="2"/>
          </rPr>
          <t xml:space="preserve">
12% rate</t>
        </r>
      </text>
    </comment>
    <comment ref="T113" authorId="0" shapeId="0">
      <text>
        <r>
          <rPr>
            <b/>
            <sz val="8"/>
            <color indexed="81"/>
            <rFont val="Tahoma"/>
            <family val="2"/>
          </rPr>
          <t>Author:</t>
        </r>
        <r>
          <rPr>
            <sz val="8"/>
            <color indexed="81"/>
            <rFont val="Tahoma"/>
            <family val="2"/>
          </rPr>
          <t xml:space="preserve">
12% rate</t>
        </r>
      </text>
    </comment>
    <comment ref="V113" authorId="0" shapeId="0">
      <text>
        <r>
          <rPr>
            <b/>
            <sz val="8"/>
            <color indexed="81"/>
            <rFont val="Tahoma"/>
            <family val="2"/>
          </rPr>
          <t>Author:</t>
        </r>
        <r>
          <rPr>
            <sz val="8"/>
            <color indexed="81"/>
            <rFont val="Tahoma"/>
            <family val="2"/>
          </rPr>
          <t xml:space="preserve">
12% rate</t>
        </r>
      </text>
    </comment>
    <comment ref="W113" authorId="0" shapeId="0">
      <text>
        <r>
          <rPr>
            <b/>
            <sz val="8"/>
            <color indexed="81"/>
            <rFont val="Tahoma"/>
            <family val="2"/>
          </rPr>
          <t>Author:</t>
        </r>
        <r>
          <rPr>
            <sz val="8"/>
            <color indexed="81"/>
            <rFont val="Tahoma"/>
            <family val="2"/>
          </rPr>
          <t xml:space="preserve">
12%</t>
        </r>
      </text>
    </comment>
    <comment ref="X113" authorId="0" shapeId="0">
      <text>
        <r>
          <rPr>
            <b/>
            <sz val="8"/>
            <color indexed="81"/>
            <rFont val="Tahoma"/>
            <family val="2"/>
          </rPr>
          <t>Author:</t>
        </r>
        <r>
          <rPr>
            <sz val="8"/>
            <color indexed="81"/>
            <rFont val="Tahoma"/>
            <family val="2"/>
          </rPr>
          <t xml:space="preserve">
12%</t>
        </r>
      </text>
    </comment>
    <comment ref="Y113" authorId="0" shapeId="0">
      <text>
        <r>
          <rPr>
            <b/>
            <sz val="8"/>
            <color indexed="81"/>
            <rFont val="Tahoma"/>
            <family val="2"/>
          </rPr>
          <t>Author:</t>
        </r>
        <r>
          <rPr>
            <sz val="8"/>
            <color indexed="81"/>
            <rFont val="Tahoma"/>
            <family val="2"/>
          </rPr>
          <t xml:space="preserve">
12%</t>
        </r>
      </text>
    </comment>
    <comment ref="Z113" authorId="0" shapeId="0">
      <text>
        <r>
          <rPr>
            <b/>
            <sz val="8"/>
            <color indexed="81"/>
            <rFont val="Tahoma"/>
            <family val="2"/>
          </rPr>
          <t>Author:</t>
        </r>
        <r>
          <rPr>
            <sz val="8"/>
            <color indexed="81"/>
            <rFont val="Tahoma"/>
            <family val="2"/>
          </rPr>
          <t xml:space="preserve">
12%</t>
        </r>
      </text>
    </comment>
    <comment ref="AA113" authorId="0" shapeId="0">
      <text>
        <r>
          <rPr>
            <b/>
            <sz val="8"/>
            <color indexed="81"/>
            <rFont val="Tahoma"/>
            <family val="2"/>
          </rPr>
          <t>Author:</t>
        </r>
        <r>
          <rPr>
            <sz val="8"/>
            <color indexed="81"/>
            <rFont val="Tahoma"/>
            <family val="2"/>
          </rPr>
          <t xml:space="preserve">
12%</t>
        </r>
      </text>
    </comment>
    <comment ref="AB113" authorId="0" shapeId="0">
      <text>
        <r>
          <rPr>
            <b/>
            <sz val="8"/>
            <color indexed="81"/>
            <rFont val="Tahoma"/>
            <family val="2"/>
          </rPr>
          <t>Author:</t>
        </r>
        <r>
          <rPr>
            <sz val="8"/>
            <color indexed="81"/>
            <rFont val="Tahoma"/>
            <family val="2"/>
          </rPr>
          <t xml:space="preserve">
10%</t>
        </r>
      </text>
    </comment>
    <comment ref="AC113" authorId="0" shapeId="0">
      <text>
        <r>
          <rPr>
            <b/>
            <sz val="8"/>
            <color indexed="81"/>
            <rFont val="Tahoma"/>
            <family val="2"/>
          </rPr>
          <t>Author:</t>
        </r>
        <r>
          <rPr>
            <sz val="8"/>
            <color indexed="81"/>
            <rFont val="Tahoma"/>
            <family val="2"/>
          </rPr>
          <t xml:space="preserve">
10%</t>
        </r>
      </text>
    </comment>
    <comment ref="AE113" authorId="0" shapeId="0">
      <text>
        <r>
          <rPr>
            <b/>
            <sz val="8"/>
            <color indexed="81"/>
            <rFont val="Tahoma"/>
            <family val="2"/>
          </rPr>
          <t>Author:</t>
        </r>
        <r>
          <rPr>
            <sz val="8"/>
            <color indexed="81"/>
            <rFont val="Tahoma"/>
            <family val="2"/>
          </rPr>
          <t xml:space="preserve">
10%</t>
        </r>
      </text>
    </comment>
    <comment ref="AF113" authorId="0" shapeId="0">
      <text>
        <r>
          <rPr>
            <b/>
            <sz val="8"/>
            <color indexed="81"/>
            <rFont val="Tahoma"/>
            <family val="2"/>
          </rPr>
          <t>Author:</t>
        </r>
        <r>
          <rPr>
            <sz val="8"/>
            <color indexed="81"/>
            <rFont val="Tahoma"/>
            <family val="2"/>
          </rPr>
          <t xml:space="preserve">
10%</t>
        </r>
      </text>
    </comment>
    <comment ref="AG113" authorId="0" shapeId="0">
      <text>
        <r>
          <rPr>
            <b/>
            <sz val="8"/>
            <color indexed="81"/>
            <rFont val="Tahoma"/>
            <family val="2"/>
          </rPr>
          <t>Author:</t>
        </r>
        <r>
          <rPr>
            <sz val="8"/>
            <color indexed="81"/>
            <rFont val="Tahoma"/>
            <family val="2"/>
          </rPr>
          <t xml:space="preserve">
10%</t>
        </r>
      </text>
    </comment>
    <comment ref="AH113" authorId="0" shapeId="0">
      <text>
        <r>
          <rPr>
            <b/>
            <sz val="8"/>
            <color indexed="81"/>
            <rFont val="Tahoma"/>
            <family val="2"/>
          </rPr>
          <t>Author:</t>
        </r>
        <r>
          <rPr>
            <sz val="8"/>
            <color indexed="81"/>
            <rFont val="Tahoma"/>
            <family val="2"/>
          </rPr>
          <t xml:space="preserve">
10%</t>
        </r>
      </text>
    </comment>
    <comment ref="A114" authorId="0" shapeId="0">
      <text>
        <r>
          <rPr>
            <b/>
            <sz val="8"/>
            <color indexed="81"/>
            <rFont val="Tahoma"/>
            <family val="2"/>
          </rPr>
          <t>Author:</t>
        </r>
        <r>
          <rPr>
            <sz val="8"/>
            <color indexed="81"/>
            <rFont val="Tahoma"/>
            <family val="2"/>
          </rPr>
          <t xml:space="preserve">
Provincial resolution no. 97 of 12 April 1887.</t>
        </r>
      </text>
    </comment>
    <comment ref="I116" authorId="0" shapeId="0">
      <text>
        <r>
          <rPr>
            <b/>
            <sz val="8"/>
            <color indexed="81"/>
            <rFont val="Tahoma"/>
            <family val="2"/>
          </rPr>
          <t>Author:</t>
        </r>
        <r>
          <rPr>
            <sz val="8"/>
            <color indexed="81"/>
            <rFont val="Tahoma"/>
            <family val="2"/>
          </rPr>
          <t xml:space="preserve">
16$519 is for the prior year.</t>
        </r>
      </text>
    </comment>
    <comment ref="M122" authorId="0" shapeId="0">
      <text>
        <r>
          <rPr>
            <b/>
            <sz val="8"/>
            <color indexed="81"/>
            <rFont val="Tahoma"/>
            <family val="2"/>
          </rPr>
          <t>Author:</t>
        </r>
        <r>
          <rPr>
            <sz val="8"/>
            <color indexed="81"/>
            <rFont val="Tahoma"/>
            <family val="2"/>
          </rPr>
          <t xml:space="preserve">
The 400$000 is for repaiirs to a bridge on the order of the Provincial Govt.  The remaining works are unspecified</t>
        </r>
      </text>
    </comment>
    <comment ref="AG122" authorId="0" shapeId="0">
      <text>
        <r>
          <rPr>
            <b/>
            <sz val="8"/>
            <color indexed="81"/>
            <rFont val="Tahoma"/>
            <family val="2"/>
          </rPr>
          <t>Author:</t>
        </r>
        <r>
          <rPr>
            <sz val="8"/>
            <color indexed="81"/>
            <rFont val="Tahoma"/>
            <family val="2"/>
          </rPr>
          <t xml:space="preserve">
This includes 20:689$000 on "obras publicas", 10:000$000 on sidewalks of pedra plastica; and 1:500$000 for works and conservation on the Public Garden.</t>
        </r>
      </text>
    </comment>
    <comment ref="AH122" authorId="0" shapeId="0">
      <text>
        <r>
          <rPr>
            <b/>
            <sz val="8"/>
            <color indexed="81"/>
            <rFont val="Tahoma"/>
            <family val="2"/>
          </rPr>
          <t>Author:</t>
        </r>
        <r>
          <rPr>
            <sz val="8"/>
            <color indexed="81"/>
            <rFont val="Tahoma"/>
            <family val="2"/>
          </rPr>
          <t xml:space="preserve">
upkeep of public garden, street paving and sidewalks, general public works.</t>
        </r>
      </text>
    </comment>
    <comment ref="AE124" authorId="0" shapeId="0">
      <text>
        <r>
          <rPr>
            <b/>
            <sz val="8"/>
            <color indexed="81"/>
            <rFont val="Tahoma"/>
            <family val="2"/>
          </rPr>
          <t>Author:</t>
        </r>
        <r>
          <rPr>
            <sz val="8"/>
            <color indexed="81"/>
            <rFont val="Tahoma"/>
            <family val="2"/>
          </rPr>
          <t xml:space="preserve">
this almost exactly matches the amount they received from the Provincial Treasury in the same fiscal year.</t>
        </r>
      </text>
    </comment>
    <comment ref="AF124" authorId="0" shapeId="0">
      <text>
        <r>
          <rPr>
            <b/>
            <sz val="8"/>
            <color indexed="81"/>
            <rFont val="Tahoma"/>
            <family val="2"/>
          </rPr>
          <t>Author:</t>
        </r>
        <r>
          <rPr>
            <sz val="8"/>
            <color indexed="81"/>
            <rFont val="Tahoma"/>
            <family val="2"/>
          </rPr>
          <t xml:space="preserve">
this almost exactly matches the amount they received from the Provincial Treasury in the following fiscal year.</t>
        </r>
      </text>
    </comment>
    <comment ref="H134" authorId="0" shapeId="0">
      <text>
        <r>
          <rPr>
            <b/>
            <sz val="8"/>
            <color indexed="81"/>
            <rFont val="Tahoma"/>
            <family val="2"/>
          </rPr>
          <t>Author:</t>
        </r>
        <r>
          <rPr>
            <sz val="8"/>
            <color indexed="81"/>
            <rFont val="Tahoma"/>
            <family val="2"/>
          </rPr>
          <t xml:space="preserve">
5$000 of this is pay to the police chief</t>
        </r>
      </text>
    </comment>
  </commentList>
</comments>
</file>

<file path=xl/comments2.xml><?xml version="1.0" encoding="utf-8"?>
<comments xmlns="http://schemas.openxmlformats.org/spreadsheetml/2006/main">
  <authors>
    <author>Author</author>
  </authors>
  <commentList>
    <comment ref="B4" authorId="0" shapeId="0">
      <text>
        <r>
          <rPr>
            <b/>
            <sz val="8"/>
            <color indexed="81"/>
            <rFont val="Tahoma"/>
            <family val="2"/>
          </rPr>
          <t>Author:</t>
        </r>
        <r>
          <rPr>
            <sz val="8"/>
            <color indexed="81"/>
            <rFont val="Tahoma"/>
            <family val="2"/>
          </rPr>
          <t xml:space="preserve">
1 October to 30 September</t>
        </r>
      </text>
    </comment>
    <comment ref="C4" authorId="0" shapeId="0">
      <text>
        <r>
          <rPr>
            <b/>
            <sz val="8"/>
            <color indexed="81"/>
            <rFont val="Tahoma"/>
            <family val="2"/>
          </rPr>
          <t>Author:</t>
        </r>
        <r>
          <rPr>
            <sz val="8"/>
            <color indexed="81"/>
            <rFont val="Tahoma"/>
            <family val="2"/>
          </rPr>
          <t xml:space="preserve">
1 October to 30 September</t>
        </r>
      </text>
    </comment>
    <comment ref="D4" authorId="0" shapeId="0">
      <text>
        <r>
          <rPr>
            <b/>
            <sz val="8"/>
            <color indexed="81"/>
            <rFont val="Tahoma"/>
            <family val="2"/>
          </rPr>
          <t>Author:</t>
        </r>
        <r>
          <rPr>
            <sz val="8"/>
            <color indexed="81"/>
            <rFont val="Tahoma"/>
            <family val="2"/>
          </rPr>
          <t xml:space="preserve">
1 October to 30 September</t>
        </r>
      </text>
    </comment>
    <comment ref="E4" authorId="0" shapeId="0">
      <text>
        <r>
          <rPr>
            <b/>
            <sz val="8"/>
            <color indexed="81"/>
            <rFont val="Tahoma"/>
            <family val="2"/>
          </rPr>
          <t>Author:</t>
        </r>
        <r>
          <rPr>
            <sz val="8"/>
            <color indexed="81"/>
            <rFont val="Tahoma"/>
            <family val="2"/>
          </rPr>
          <t xml:space="preserve">
1 October to 30 September</t>
        </r>
      </text>
    </comment>
    <comment ref="F4" authorId="0" shapeId="0">
      <text>
        <r>
          <rPr>
            <b/>
            <sz val="8"/>
            <color indexed="81"/>
            <rFont val="Tahoma"/>
            <family val="2"/>
          </rPr>
          <t>Author:</t>
        </r>
        <r>
          <rPr>
            <sz val="8"/>
            <color indexed="81"/>
            <rFont val="Tahoma"/>
            <family val="2"/>
          </rPr>
          <t xml:space="preserve">
1 October to 30 September</t>
        </r>
      </text>
    </comment>
    <comment ref="G4" authorId="0" shapeId="0">
      <text>
        <r>
          <rPr>
            <b/>
            <sz val="8"/>
            <color indexed="81"/>
            <rFont val="Tahoma"/>
            <family val="2"/>
          </rPr>
          <t>Author:</t>
        </r>
        <r>
          <rPr>
            <sz val="8"/>
            <color indexed="81"/>
            <rFont val="Tahoma"/>
            <family val="2"/>
          </rPr>
          <t xml:space="preserve">
1 October to 30 September</t>
        </r>
      </text>
    </comment>
    <comment ref="H4" authorId="0" shapeId="0">
      <text>
        <r>
          <rPr>
            <b/>
            <sz val="8"/>
            <color indexed="81"/>
            <rFont val="Tahoma"/>
            <family val="2"/>
          </rPr>
          <t>Author:</t>
        </r>
        <r>
          <rPr>
            <sz val="8"/>
            <color indexed="81"/>
            <rFont val="Tahoma"/>
            <family val="2"/>
          </rPr>
          <t xml:space="preserve">
1 October to 30 September</t>
        </r>
      </text>
    </comment>
    <comment ref="I4" authorId="0" shapeId="0">
      <text>
        <r>
          <rPr>
            <b/>
            <sz val="8"/>
            <color indexed="81"/>
            <rFont val="Tahoma"/>
            <family val="2"/>
          </rPr>
          <t>Author:</t>
        </r>
        <r>
          <rPr>
            <sz val="8"/>
            <color indexed="81"/>
            <rFont val="Tahoma"/>
            <family val="2"/>
          </rPr>
          <t xml:space="preserve">
1 October to 30 September</t>
        </r>
      </text>
    </comment>
    <comment ref="K4" authorId="0" shapeId="0">
      <text>
        <r>
          <rPr>
            <b/>
            <sz val="8"/>
            <color indexed="81"/>
            <rFont val="Tahoma"/>
            <family val="2"/>
          </rPr>
          <t>Author:</t>
        </r>
        <r>
          <rPr>
            <sz val="8"/>
            <color indexed="81"/>
            <rFont val="Tahoma"/>
            <family val="2"/>
          </rPr>
          <t xml:space="preserve">
1 October to 30 September</t>
        </r>
      </text>
    </comment>
    <comment ref="L4" authorId="0" shapeId="0">
      <text>
        <r>
          <rPr>
            <b/>
            <sz val="8"/>
            <color indexed="81"/>
            <rFont val="Tahoma"/>
            <family val="2"/>
          </rPr>
          <t>Author:</t>
        </r>
        <r>
          <rPr>
            <sz val="8"/>
            <color indexed="81"/>
            <rFont val="Tahoma"/>
            <family val="2"/>
          </rPr>
          <t xml:space="preserve">
1 October to 30 September</t>
        </r>
      </text>
    </comment>
    <comment ref="M4" authorId="0" shapeId="0">
      <text>
        <r>
          <rPr>
            <b/>
            <sz val="8"/>
            <color indexed="81"/>
            <rFont val="Tahoma"/>
            <family val="2"/>
          </rPr>
          <t>Author:</t>
        </r>
        <r>
          <rPr>
            <sz val="8"/>
            <color indexed="81"/>
            <rFont val="Tahoma"/>
            <family val="2"/>
          </rPr>
          <t xml:space="preserve">
1 October to 30 September</t>
        </r>
      </text>
    </comment>
    <comment ref="N4" authorId="0" shapeId="0">
      <text>
        <r>
          <rPr>
            <b/>
            <sz val="8"/>
            <color indexed="81"/>
            <rFont val="Tahoma"/>
            <family val="2"/>
          </rPr>
          <t>Author:</t>
        </r>
        <r>
          <rPr>
            <sz val="8"/>
            <color indexed="81"/>
            <rFont val="Tahoma"/>
            <family val="2"/>
          </rPr>
          <t xml:space="preserve">
1 October to 30 September</t>
        </r>
      </text>
    </comment>
    <comment ref="P4" authorId="0" shapeId="0">
      <text>
        <r>
          <rPr>
            <b/>
            <sz val="8"/>
            <color indexed="81"/>
            <rFont val="Tahoma"/>
            <family val="2"/>
          </rPr>
          <t>Author:</t>
        </r>
        <r>
          <rPr>
            <sz val="8"/>
            <color indexed="81"/>
            <rFont val="Tahoma"/>
            <family val="2"/>
          </rPr>
          <t xml:space="preserve">
1 October to 30 September</t>
        </r>
      </text>
    </comment>
    <comment ref="C5" authorId="0" shapeId="0">
      <text>
        <r>
          <rPr>
            <b/>
            <sz val="8"/>
            <color indexed="81"/>
            <rFont val="Tahoma"/>
            <family val="2"/>
          </rPr>
          <t>Author:</t>
        </r>
        <r>
          <rPr>
            <sz val="8"/>
            <color indexed="81"/>
            <rFont val="Tahoma"/>
            <family val="2"/>
          </rPr>
          <t xml:space="preserve">
no day of the month, but month and year are recorded. </t>
        </r>
      </text>
    </comment>
    <comment ref="S5" authorId="0" shapeId="0">
      <text>
        <r>
          <rPr>
            <b/>
            <sz val="8"/>
            <color indexed="81"/>
            <rFont val="Tahoma"/>
            <family val="2"/>
          </rPr>
          <t>Author:</t>
        </r>
        <r>
          <rPr>
            <sz val="8"/>
            <color indexed="81"/>
            <rFont val="Tahoma"/>
            <family val="2"/>
          </rPr>
          <t xml:space="preserve">
Date of the cover letter.  The Bal Sheet itself is not dated.</t>
        </r>
      </text>
    </comment>
    <comment ref="AU5" authorId="0" shapeId="0">
      <text>
        <r>
          <rPr>
            <b/>
            <sz val="8"/>
            <color indexed="81"/>
            <rFont val="Tahoma"/>
            <family val="2"/>
          </rPr>
          <t>Author:</t>
        </r>
        <r>
          <rPr>
            <sz val="8"/>
            <color indexed="81"/>
            <rFont val="Tahoma"/>
            <family val="2"/>
          </rPr>
          <t xml:space="preserve">
The cover letter that accompanied this Receitas e Despezas statement is dated 2 Feb 1880. </t>
        </r>
      </text>
    </comment>
    <comment ref="C8" authorId="0" shapeId="0">
      <text>
        <r>
          <rPr>
            <b/>
            <sz val="8"/>
            <color indexed="81"/>
            <rFont val="Tahoma"/>
            <family val="2"/>
          </rPr>
          <t>Author:</t>
        </r>
        <r>
          <rPr>
            <sz val="8"/>
            <color indexed="81"/>
            <rFont val="Tahoma"/>
            <family val="2"/>
          </rPr>
          <t xml:space="preserve">
Value in the document is 134$492, because of an error in arithmentic from the prior year that was carried over to this year.  The value in this cell is the mathematically correct value.  No person will find this value in the historial document. I altered the values to reflect correct math.  I carried over the true values from the prior year.</t>
        </r>
      </text>
    </comment>
    <comment ref="D8" authorId="0" shapeId="0">
      <text>
        <r>
          <rPr>
            <b/>
            <sz val="8"/>
            <color indexed="81"/>
            <rFont val="Tahoma"/>
            <family val="2"/>
          </rPr>
          <t>Author:</t>
        </r>
        <r>
          <rPr>
            <sz val="8"/>
            <color indexed="81"/>
            <rFont val="Tahoma"/>
            <family val="2"/>
          </rPr>
          <t xml:space="preserve">
Value in the doc is 166$841, because of an error in arithmentic from the 1835/36 that was carried over to subsequent years.  The value in this cell is the mathematically correct value.  No person will find this value in the historial document.  I  altered the values to reflect correct math.  I carried over the true values from the prior year.</t>
        </r>
      </text>
    </comment>
    <comment ref="E8" authorId="0" shapeId="0">
      <text>
        <r>
          <rPr>
            <b/>
            <sz val="8"/>
            <color indexed="81"/>
            <rFont val="Tahoma"/>
            <family val="2"/>
          </rPr>
          <t>Author:</t>
        </r>
        <r>
          <rPr>
            <sz val="8"/>
            <color indexed="81"/>
            <rFont val="Tahoma"/>
            <family val="2"/>
          </rPr>
          <t xml:space="preserve">
Value in the doc is 206$782, because of an error in arithmentic from the 1835/36 that was carried over to subsequent years.  The value in this cell is the mathematically correct value.  No person will find this value in the historial document.  I decided to alter the values to reflect correct math.  I carried over the true values from the prior year.</t>
        </r>
      </text>
    </comment>
    <comment ref="F8" authorId="0" shapeId="0">
      <text>
        <r>
          <rPr>
            <b/>
            <sz val="8"/>
            <color indexed="81"/>
            <rFont val="Tahoma"/>
            <family val="2"/>
          </rPr>
          <t>Author:</t>
        </r>
        <r>
          <rPr>
            <sz val="8"/>
            <color indexed="81"/>
            <rFont val="Tahoma"/>
            <family val="2"/>
          </rPr>
          <t xml:space="preserve">
This is the balance of 1838/39 revenues minus expenditures.  It is not reported in the primary source document.  I included it to adjust the accounting to reflect the actual financial situation of the municipality.  
The cover letter for this report says the value of this year's receitas plus saldo do ano anterior equals 285$699. The reported revenues for this year, however, are 90$980 If you subtract 90$980 (this year's revenues) from 285$699 mentioned in the cover letter (this year's revenues plus saldo from the ano anterior), you get 194$719.  This value doesn't correspond to anything in the primary sources. </t>
        </r>
      </text>
    </comment>
    <comment ref="G8" authorId="0" shapeId="0">
      <text>
        <r>
          <rPr>
            <b/>
            <sz val="8"/>
            <color indexed="81"/>
            <rFont val="Tahoma"/>
            <family val="2"/>
          </rPr>
          <t>Hanley:</t>
        </r>
        <r>
          <rPr>
            <sz val="8"/>
            <color indexed="81"/>
            <rFont val="Tahoma"/>
            <family val="2"/>
          </rPr>
          <t xml:space="preserve">
The document says saldo from year before is 48$080.  Same caveat as in other years.  Corrected for past errors, the saldo do ano anterior was 40$379.</t>
        </r>
      </text>
    </comment>
    <comment ref="H8" authorId="0" shapeId="0">
      <text>
        <r>
          <rPr>
            <b/>
            <sz val="8"/>
            <color indexed="81"/>
            <rFont val="Tahoma"/>
            <family val="2"/>
          </rPr>
          <t>Author:</t>
        </r>
        <r>
          <rPr>
            <sz val="8"/>
            <color indexed="81"/>
            <rFont val="Tahoma"/>
            <family val="2"/>
          </rPr>
          <t xml:space="preserve">
The original document says 48,080, but the actual balance from the year before was a whopping 320,275.</t>
        </r>
      </text>
    </comment>
    <comment ref="I8" authorId="0" shapeId="0">
      <text>
        <r>
          <rPr>
            <b/>
            <sz val="8"/>
            <color indexed="81"/>
            <rFont val="Tahoma"/>
            <family val="2"/>
          </rPr>
          <t>Author:</t>
        </r>
        <r>
          <rPr>
            <sz val="8"/>
            <color indexed="81"/>
            <rFont val="Tahoma"/>
            <family val="2"/>
          </rPr>
          <t xml:space="preserve">
The doc says the saldo do ano anterior was 124$014.  In fact, it was 1,063$993.
</t>
        </r>
      </text>
    </comment>
    <comment ref="K8" authorId="0" shapeId="0">
      <text>
        <r>
          <rPr>
            <b/>
            <sz val="8"/>
            <color indexed="81"/>
            <rFont val="Tahoma"/>
            <family val="2"/>
          </rPr>
          <t>Hanley:</t>
        </r>
        <r>
          <rPr>
            <sz val="8"/>
            <color indexed="81"/>
            <rFont val="Tahoma"/>
            <family val="2"/>
          </rPr>
          <t xml:space="preserve">
I am accepting this balance forward for not having another option, since the "receitas e despeza" report for 1843/44 is missing.</t>
        </r>
      </text>
    </comment>
    <comment ref="L8" authorId="0" shapeId="0">
      <text>
        <r>
          <rPr>
            <b/>
            <sz val="8"/>
            <color indexed="81"/>
            <rFont val="Tahoma"/>
            <family val="2"/>
          </rPr>
          <t>Hanley:</t>
        </r>
        <r>
          <rPr>
            <sz val="8"/>
            <color indexed="81"/>
            <rFont val="Tahoma"/>
            <family val="2"/>
          </rPr>
          <t xml:space="preserve">
The document from the câmara municipal reported a balance forward of 156$646.  The Provincial Assembly's Commissão de Contas corrected it at the very bottom of page 4 (of 5) of this document, to carry forward the correct amount, 290$895, from the previous year.  So the CC was able to rectify the error.  This balanço does not have expenditures in detail, but this corrected accounting on the bottom of page 4 includes that year's total expenses, so we know what the saldo is.  Note that the doc cf47-004 opens with a report explaining this.
</t>
        </r>
      </text>
    </comment>
    <comment ref="M8" authorId="0" shapeId="0">
      <text>
        <r>
          <rPr>
            <b/>
            <sz val="8"/>
            <color indexed="81"/>
            <rFont val="Tahoma"/>
            <family val="2"/>
          </rPr>
          <t>Author:</t>
        </r>
        <r>
          <rPr>
            <sz val="8"/>
            <color indexed="81"/>
            <rFont val="Tahoma"/>
            <family val="2"/>
          </rPr>
          <t xml:space="preserve">
The reported balance forward was 90$986, but the actual saldo from the ano anterior was 382$405.
 </t>
        </r>
      </text>
    </comment>
    <comment ref="BA13" authorId="0" shapeId="0">
      <text>
        <r>
          <rPr>
            <b/>
            <sz val="8"/>
            <color indexed="81"/>
            <rFont val="Tahoma"/>
            <family val="2"/>
          </rPr>
          <t>Author:</t>
        </r>
        <r>
          <rPr>
            <sz val="8"/>
            <color indexed="81"/>
            <rFont val="Tahoma"/>
            <family val="2"/>
          </rPr>
          <t xml:space="preserve">
dogs and cows</t>
        </r>
      </text>
    </comment>
    <comment ref="BC13" authorId="0" shapeId="0">
      <text>
        <r>
          <rPr>
            <b/>
            <sz val="8"/>
            <color indexed="81"/>
            <rFont val="Tahoma"/>
            <family val="2"/>
          </rPr>
          <t>Author:</t>
        </r>
        <r>
          <rPr>
            <sz val="8"/>
            <color indexed="81"/>
            <rFont val="Tahoma"/>
            <family val="2"/>
          </rPr>
          <t xml:space="preserve">
dogs</t>
        </r>
      </text>
    </comment>
    <comment ref="BD13" authorId="0" shapeId="0">
      <text>
        <r>
          <rPr>
            <b/>
            <sz val="8"/>
            <color indexed="81"/>
            <rFont val="Tahoma"/>
            <family val="2"/>
          </rPr>
          <t>Author:</t>
        </r>
        <r>
          <rPr>
            <sz val="8"/>
            <color indexed="81"/>
            <rFont val="Tahoma"/>
            <family val="2"/>
          </rPr>
          <t xml:space="preserve">
dogs</t>
        </r>
      </text>
    </comment>
    <comment ref="AF34" authorId="0" shapeId="0">
      <text>
        <r>
          <rPr>
            <b/>
            <sz val="9"/>
            <color indexed="81"/>
            <rFont val="Tahoma"/>
            <family val="2"/>
          </rPr>
          <t>Author:</t>
        </r>
        <r>
          <rPr>
            <sz val="9"/>
            <color indexed="81"/>
            <rFont val="Tahoma"/>
            <family val="2"/>
          </rPr>
          <t xml:space="preserve">
"bilhar"
</t>
        </r>
      </text>
    </comment>
    <comment ref="AM34" authorId="0" shapeId="0">
      <text>
        <r>
          <rPr>
            <b/>
            <sz val="9"/>
            <color indexed="81"/>
            <rFont val="Tahoma"/>
            <family val="2"/>
          </rPr>
          <t>Author:</t>
        </r>
        <r>
          <rPr>
            <sz val="9"/>
            <color indexed="81"/>
            <rFont val="Tahoma"/>
            <family val="2"/>
          </rPr>
          <t xml:space="preserve">
"casa de bilhar"
</t>
        </r>
      </text>
    </comment>
    <comment ref="W43" authorId="0" shapeId="0">
      <text>
        <r>
          <rPr>
            <b/>
            <sz val="9"/>
            <color indexed="81"/>
            <rFont val="Tahoma"/>
            <family val="2"/>
          </rPr>
          <t>Author:</t>
        </r>
        <r>
          <rPr>
            <sz val="9"/>
            <color indexed="81"/>
            <rFont val="Tahoma"/>
            <family val="2"/>
          </rPr>
          <t xml:space="preserve">
The income statement says that "ficou a cobrar 32$." While they collected 32$000, another 32$000 were yet to be collected.</t>
        </r>
      </text>
    </comment>
    <comment ref="B55" authorId="0" shapeId="0">
      <text>
        <r>
          <rPr>
            <b/>
            <sz val="8"/>
            <color indexed="81"/>
            <rFont val="Tahoma"/>
            <family val="2"/>
          </rPr>
          <t>Author:</t>
        </r>
        <r>
          <rPr>
            <sz val="8"/>
            <color indexed="81"/>
            <rFont val="Tahoma"/>
            <family val="2"/>
          </rPr>
          <t xml:space="preserve">
160 reis per head</t>
        </r>
      </text>
    </comment>
    <comment ref="D55" authorId="0" shapeId="0">
      <text>
        <r>
          <rPr>
            <b/>
            <sz val="8"/>
            <color indexed="81"/>
            <rFont val="Tahoma"/>
            <family val="2"/>
          </rPr>
          <t>Author:</t>
        </r>
        <r>
          <rPr>
            <sz val="8"/>
            <color indexed="81"/>
            <rFont val="Tahoma"/>
            <family val="2"/>
          </rPr>
          <t xml:space="preserve">
160 reis per head</t>
        </r>
      </text>
    </comment>
    <comment ref="G55" authorId="0" shapeId="0">
      <text>
        <r>
          <rPr>
            <b/>
            <sz val="8"/>
            <color indexed="81"/>
            <rFont val="Tahoma"/>
            <family val="2"/>
          </rPr>
          <t>Author:</t>
        </r>
        <r>
          <rPr>
            <sz val="8"/>
            <color indexed="81"/>
            <rFont val="Tahoma"/>
            <family val="2"/>
          </rPr>
          <t xml:space="preserve">
160 reis per head</t>
        </r>
      </text>
    </comment>
    <comment ref="H55" authorId="0" shapeId="0">
      <text>
        <r>
          <rPr>
            <b/>
            <sz val="8"/>
            <color indexed="81"/>
            <rFont val="Tahoma"/>
            <family val="2"/>
          </rPr>
          <t>Author:</t>
        </r>
        <r>
          <rPr>
            <sz val="8"/>
            <color indexed="81"/>
            <rFont val="Tahoma"/>
            <family val="2"/>
          </rPr>
          <t xml:space="preserve">
160 reis per head</t>
        </r>
      </text>
    </comment>
    <comment ref="I55" authorId="0" shapeId="0">
      <text>
        <r>
          <rPr>
            <b/>
            <sz val="8"/>
            <color indexed="81"/>
            <rFont val="Tahoma"/>
            <family val="2"/>
          </rPr>
          <t>Author:</t>
        </r>
        <r>
          <rPr>
            <sz val="8"/>
            <color indexed="81"/>
            <rFont val="Tahoma"/>
            <family val="2"/>
          </rPr>
          <t xml:space="preserve">
160 reis per head</t>
        </r>
      </text>
    </comment>
    <comment ref="AA56" authorId="0" shapeId="0">
      <text>
        <r>
          <rPr>
            <b/>
            <sz val="9"/>
            <color indexed="81"/>
            <rFont val="Tahoma"/>
            <family val="2"/>
          </rPr>
          <t>Author:</t>
        </r>
        <r>
          <rPr>
            <sz val="9"/>
            <color indexed="81"/>
            <rFont val="Tahoma"/>
            <family val="2"/>
          </rPr>
          <t xml:space="preserve">
"Lojas"</t>
        </r>
      </text>
    </comment>
    <comment ref="AA59" authorId="0" shapeId="0">
      <text>
        <r>
          <rPr>
            <b/>
            <sz val="9"/>
            <color indexed="81"/>
            <rFont val="Tahoma"/>
            <family val="2"/>
          </rPr>
          <t>Author:</t>
        </r>
        <r>
          <rPr>
            <sz val="9"/>
            <color indexed="81"/>
            <rFont val="Tahoma"/>
            <family val="2"/>
          </rPr>
          <t xml:space="preserve">
"Armazens e tabernas"</t>
        </r>
      </text>
    </comment>
    <comment ref="AH63" authorId="0" shapeId="0">
      <text>
        <r>
          <rPr>
            <b/>
            <sz val="9"/>
            <color indexed="81"/>
            <rFont val="Tahoma"/>
            <family val="2"/>
          </rPr>
          <t>Author:</t>
        </r>
        <r>
          <rPr>
            <sz val="9"/>
            <color indexed="81"/>
            <rFont val="Tahoma"/>
            <family val="2"/>
          </rPr>
          <t xml:space="preserve">
"Torneiras d'agoa concedidas a proprietarios"</t>
        </r>
      </text>
    </comment>
    <comment ref="AI63" authorId="0" shapeId="0">
      <text>
        <r>
          <rPr>
            <b/>
            <sz val="9"/>
            <color indexed="81"/>
            <rFont val="Tahoma"/>
            <family val="2"/>
          </rPr>
          <t>Author:</t>
        </r>
        <r>
          <rPr>
            <sz val="9"/>
            <color indexed="81"/>
            <rFont val="Tahoma"/>
            <family val="2"/>
          </rPr>
          <t xml:space="preserve">
"Torneiras d'agoa concedidas a proprietarios"</t>
        </r>
      </text>
    </comment>
    <comment ref="H66" authorId="0" shapeId="0">
      <text>
        <r>
          <rPr>
            <b/>
            <sz val="8"/>
            <color indexed="81"/>
            <rFont val="Tahoma"/>
            <family val="2"/>
          </rPr>
          <t>Hanley:</t>
        </r>
        <r>
          <rPr>
            <sz val="8"/>
            <color indexed="81"/>
            <rFont val="Tahoma"/>
            <family val="2"/>
          </rPr>
          <t xml:space="preserve">
15$000 in fines imposed on the fiscal by the Camara; 18$000 in fines imposed by the fiscal on the public.</t>
        </r>
      </text>
    </comment>
    <comment ref="L66" authorId="0" shapeId="0">
      <text>
        <r>
          <rPr>
            <b/>
            <sz val="8"/>
            <color indexed="81"/>
            <rFont val="Tahoma"/>
            <family val="2"/>
          </rPr>
          <t>Author:</t>
        </r>
        <r>
          <rPr>
            <sz val="8"/>
            <color indexed="81"/>
            <rFont val="Tahoma"/>
            <family val="2"/>
          </rPr>
          <t xml:space="preserve">
50$000 is a fine imposed by the Provincial President on the Camara.</t>
        </r>
      </text>
    </comment>
    <comment ref="W66" authorId="0" shapeId="0">
      <text>
        <r>
          <rPr>
            <b/>
            <sz val="9"/>
            <color indexed="81"/>
            <rFont val="Tahoma"/>
            <family val="2"/>
          </rPr>
          <t xml:space="preserve">Hanley:
</t>
        </r>
        <r>
          <rPr>
            <sz val="9"/>
            <color indexed="81"/>
            <rFont val="Tahoma"/>
            <family val="2"/>
          </rPr>
          <t>While no money was collected in this account, a note mentioned that 64$ were owed in fines. "ficou de cobrar 64$000"</t>
        </r>
      </text>
    </comment>
    <comment ref="A69" authorId="0" shapeId="0">
      <text>
        <r>
          <rPr>
            <b/>
            <sz val="8"/>
            <color indexed="81"/>
            <rFont val="Tahoma"/>
            <family val="2"/>
          </rPr>
          <t>Author:</t>
        </r>
        <r>
          <rPr>
            <sz val="8"/>
            <color indexed="81"/>
            <rFont val="Tahoma"/>
            <family val="2"/>
          </rPr>
          <t xml:space="preserve">
article 56 of criminal code</t>
        </r>
      </text>
    </comment>
    <comment ref="A70" authorId="0" shapeId="0">
      <text>
        <r>
          <rPr>
            <b/>
            <sz val="8"/>
            <color indexed="81"/>
            <rFont val="Tahoma"/>
            <family val="2"/>
          </rPr>
          <t>Author:</t>
        </r>
        <r>
          <rPr>
            <sz val="8"/>
            <color indexed="81"/>
            <rFont val="Tahoma"/>
            <family val="2"/>
          </rPr>
          <t xml:space="preserve">
article 313 of the criminal code</t>
        </r>
      </text>
    </comment>
    <comment ref="I71" authorId="0" shapeId="0">
      <text>
        <r>
          <rPr>
            <b/>
            <sz val="8"/>
            <color indexed="81"/>
            <rFont val="Tahoma"/>
            <family val="2"/>
          </rPr>
          <t>Hanley:</t>
        </r>
        <r>
          <rPr>
            <sz val="8"/>
            <color indexed="81"/>
            <rFont val="Tahoma"/>
            <family val="2"/>
          </rPr>
          <t xml:space="preserve">
fine on one vereador for missing nine days, so 2$000 fine per day.</t>
        </r>
      </text>
    </comment>
    <comment ref="A79" authorId="0" shapeId="0">
      <text>
        <r>
          <rPr>
            <b/>
            <sz val="9"/>
            <color indexed="81"/>
            <rFont val="Tahoma"/>
            <family val="2"/>
          </rPr>
          <t>Author:</t>
        </r>
        <r>
          <rPr>
            <sz val="9"/>
            <color indexed="81"/>
            <rFont val="Tahoma"/>
            <family val="2"/>
          </rPr>
          <t xml:space="preserve">
Articles 112 and 229 of the criminal code</t>
        </r>
      </text>
    </comment>
    <comment ref="X84" authorId="0" shapeId="0">
      <text>
        <r>
          <rPr>
            <b/>
            <sz val="9"/>
            <color indexed="81"/>
            <rFont val="Tahoma"/>
            <family val="2"/>
          </rPr>
          <t>Hanley:</t>
        </r>
        <r>
          <rPr>
            <sz val="9"/>
            <color indexed="81"/>
            <rFont val="Tahoma"/>
            <family val="2"/>
          </rPr>
          <t xml:space="preserve">
"objetos arrematados em hasta publica": goods sold at public auction.</t>
        </r>
      </text>
    </comment>
    <comment ref="F88" authorId="0" shapeId="0">
      <text>
        <r>
          <rPr>
            <b/>
            <sz val="8"/>
            <color indexed="81"/>
            <rFont val="Tahoma"/>
            <family val="2"/>
          </rPr>
          <t>Hanley:</t>
        </r>
        <r>
          <rPr>
            <sz val="8"/>
            <color indexed="81"/>
            <rFont val="Tahoma"/>
            <family val="2"/>
          </rPr>
          <t xml:space="preserve">
The municipal officials recorded that they did not  know exactly what accounts the money came from because the procurador died without making an exact declaration.</t>
        </r>
      </text>
    </comment>
    <comment ref="AF88" authorId="0" shapeId="0">
      <text>
        <r>
          <rPr>
            <b/>
            <sz val="9"/>
            <color indexed="81"/>
            <rFont val="Tahoma"/>
            <family val="2"/>
          </rPr>
          <t>Author:</t>
        </r>
        <r>
          <rPr>
            <sz val="9"/>
            <color indexed="81"/>
            <rFont val="Tahoma"/>
            <family val="2"/>
          </rPr>
          <t xml:space="preserve">
restitution made by the Secretary</t>
        </r>
      </text>
    </comment>
    <comment ref="W90" authorId="0" shapeId="0">
      <text>
        <r>
          <rPr>
            <b/>
            <sz val="9"/>
            <color indexed="81"/>
            <rFont val="Tahoma"/>
            <family val="2"/>
          </rPr>
          <t>Author:</t>
        </r>
        <r>
          <rPr>
            <sz val="9"/>
            <color indexed="81"/>
            <rFont val="Tahoma"/>
            <family val="2"/>
          </rPr>
          <t xml:space="preserve">
They have a note saying that tax collections totalled 363$094, but I triple checked.  If you add in the 96$ that "ficou a cobrar" you end up with more than their total.</t>
        </r>
      </text>
    </comment>
    <comment ref="C100" authorId="0" shapeId="0">
      <text>
        <r>
          <rPr>
            <b/>
            <sz val="8"/>
            <color indexed="81"/>
            <rFont val="Tahoma"/>
            <family val="2"/>
          </rPr>
          <t>Author:</t>
        </r>
        <r>
          <rPr>
            <sz val="8"/>
            <color indexed="81"/>
            <rFont val="Tahoma"/>
            <family val="2"/>
          </rPr>
          <t xml:space="preserve">
no day of the month, but month and year are recorded. </t>
        </r>
      </text>
    </comment>
    <comment ref="S100" authorId="0" shapeId="0">
      <text>
        <r>
          <rPr>
            <b/>
            <sz val="8"/>
            <color indexed="81"/>
            <rFont val="Tahoma"/>
            <family val="2"/>
          </rPr>
          <t>Author:</t>
        </r>
        <r>
          <rPr>
            <sz val="8"/>
            <color indexed="81"/>
            <rFont val="Tahoma"/>
            <family val="2"/>
          </rPr>
          <t xml:space="preserve">
Date of the cover letter.  The Bal Sheet itself is not dated.</t>
        </r>
      </text>
    </comment>
    <comment ref="AU100" authorId="0" shapeId="0">
      <text>
        <r>
          <rPr>
            <b/>
            <sz val="8"/>
            <color indexed="81"/>
            <rFont val="Tahoma"/>
            <family val="2"/>
          </rPr>
          <t>Author:</t>
        </r>
        <r>
          <rPr>
            <sz val="8"/>
            <color indexed="81"/>
            <rFont val="Tahoma"/>
            <family val="2"/>
          </rPr>
          <t xml:space="preserve">
The cover letter that accompanied this R&amp;D bal sheet is dated 2 Feb 1880. </t>
        </r>
      </text>
    </comment>
    <comment ref="U108" authorId="0" shapeId="0">
      <text>
        <r>
          <rPr>
            <b/>
            <sz val="9"/>
            <color indexed="81"/>
            <rFont val="Tahoma"/>
            <family val="2"/>
          </rPr>
          <t>Author:</t>
        </r>
        <r>
          <rPr>
            <sz val="9"/>
            <color indexed="81"/>
            <rFont val="Tahoma"/>
            <family val="2"/>
          </rPr>
          <t xml:space="preserve">
Ficou de pagar 20$000</t>
        </r>
      </text>
    </comment>
    <comment ref="W108" authorId="0" shapeId="0">
      <text>
        <r>
          <rPr>
            <b/>
            <sz val="9"/>
            <color indexed="81"/>
            <rFont val="Tahoma"/>
            <family val="2"/>
          </rPr>
          <t>Author:</t>
        </r>
        <r>
          <rPr>
            <sz val="9"/>
            <color indexed="81"/>
            <rFont val="Tahoma"/>
            <family val="2"/>
          </rPr>
          <t xml:space="preserve">
Ficou de pagar 20$000</t>
        </r>
      </text>
    </comment>
    <comment ref="U110" authorId="0" shapeId="0">
      <text>
        <r>
          <rPr>
            <b/>
            <sz val="9"/>
            <color indexed="81"/>
            <rFont val="Tahoma"/>
            <family val="2"/>
          </rPr>
          <t>Author:</t>
        </r>
        <r>
          <rPr>
            <sz val="9"/>
            <color indexed="81"/>
            <rFont val="Tahoma"/>
            <family val="2"/>
          </rPr>
          <t xml:space="preserve">
ficou de pagar: 3$000</t>
        </r>
      </text>
    </comment>
    <comment ref="W110" authorId="0" shapeId="0">
      <text>
        <r>
          <rPr>
            <b/>
            <sz val="9"/>
            <color indexed="81"/>
            <rFont val="Tahoma"/>
            <family val="2"/>
          </rPr>
          <t>Author:</t>
        </r>
        <r>
          <rPr>
            <sz val="9"/>
            <color indexed="81"/>
            <rFont val="Tahoma"/>
            <family val="2"/>
          </rPr>
          <t xml:space="preserve">
ficou de pagar: 3$000</t>
        </r>
      </text>
    </comment>
    <comment ref="B111" authorId="0" shapeId="0">
      <text>
        <r>
          <rPr>
            <b/>
            <sz val="8"/>
            <color indexed="81"/>
            <rFont val="Tahoma"/>
            <family val="2"/>
          </rPr>
          <t>Author:</t>
        </r>
        <r>
          <rPr>
            <sz val="8"/>
            <color indexed="81"/>
            <rFont val="Tahoma"/>
            <family val="2"/>
          </rPr>
          <t xml:space="preserve">
6%</t>
        </r>
      </text>
    </comment>
    <comment ref="C111" authorId="0" shapeId="0">
      <text>
        <r>
          <rPr>
            <b/>
            <sz val="8"/>
            <color indexed="81"/>
            <rFont val="Tahoma"/>
            <family val="2"/>
          </rPr>
          <t>Author:</t>
        </r>
        <r>
          <rPr>
            <sz val="8"/>
            <color indexed="81"/>
            <rFont val="Tahoma"/>
            <family val="2"/>
          </rPr>
          <t xml:space="preserve">
6%</t>
        </r>
      </text>
    </comment>
    <comment ref="D111" authorId="0" shapeId="0">
      <text>
        <r>
          <rPr>
            <b/>
            <sz val="8"/>
            <color indexed="81"/>
            <rFont val="Tahoma"/>
            <family val="2"/>
          </rPr>
          <t>Author:</t>
        </r>
        <r>
          <rPr>
            <sz val="8"/>
            <color indexed="81"/>
            <rFont val="Tahoma"/>
            <family val="2"/>
          </rPr>
          <t xml:space="preserve">
6%</t>
        </r>
      </text>
    </comment>
    <comment ref="E111" authorId="0" shapeId="0">
      <text>
        <r>
          <rPr>
            <b/>
            <sz val="8"/>
            <color indexed="81"/>
            <rFont val="Tahoma"/>
            <family val="2"/>
          </rPr>
          <t>Author:</t>
        </r>
        <r>
          <rPr>
            <sz val="8"/>
            <color indexed="81"/>
            <rFont val="Tahoma"/>
            <family val="2"/>
          </rPr>
          <t xml:space="preserve">
6%</t>
        </r>
      </text>
    </comment>
    <comment ref="G111" authorId="0" shapeId="0">
      <text>
        <r>
          <rPr>
            <b/>
            <sz val="8"/>
            <color indexed="81"/>
            <rFont val="Tahoma"/>
            <family val="2"/>
          </rPr>
          <t>Author:</t>
        </r>
        <r>
          <rPr>
            <sz val="8"/>
            <color indexed="81"/>
            <rFont val="Tahoma"/>
            <family val="2"/>
          </rPr>
          <t xml:space="preserve">
6%</t>
        </r>
      </text>
    </comment>
    <comment ref="Q111" authorId="0" shapeId="0">
      <text>
        <r>
          <rPr>
            <b/>
            <sz val="8"/>
            <color indexed="81"/>
            <rFont val="Tahoma"/>
            <family val="2"/>
          </rPr>
          <t>Author:</t>
        </r>
        <r>
          <rPr>
            <sz val="8"/>
            <color indexed="81"/>
            <rFont val="Tahoma"/>
            <family val="2"/>
          </rPr>
          <t xml:space="preserve">
21$013 is regular commission; 8$568 is for novas rendas.</t>
        </r>
      </text>
    </comment>
    <comment ref="W111" authorId="0" shapeId="0">
      <text>
        <r>
          <rPr>
            <b/>
            <sz val="9"/>
            <color indexed="81"/>
            <rFont val="Tahoma"/>
            <family val="2"/>
          </rPr>
          <t>Author:</t>
        </r>
        <r>
          <rPr>
            <sz val="9"/>
            <color indexed="81"/>
            <rFont val="Tahoma"/>
            <family val="2"/>
          </rPr>
          <t xml:space="preserve">
ficou de pagar 2$511</t>
        </r>
      </text>
    </comment>
    <comment ref="X111" authorId="0" shapeId="0">
      <text>
        <r>
          <rPr>
            <b/>
            <sz val="9"/>
            <color indexed="81"/>
            <rFont val="Tahoma"/>
            <family val="2"/>
          </rPr>
          <t>Author:</t>
        </r>
        <r>
          <rPr>
            <sz val="9"/>
            <color indexed="81"/>
            <rFont val="Tahoma"/>
            <family val="2"/>
          </rPr>
          <t xml:space="preserve">
6%
</t>
        </r>
      </text>
    </comment>
    <comment ref="Q112" authorId="0" shapeId="0">
      <text>
        <r>
          <rPr>
            <b/>
            <sz val="8"/>
            <color indexed="81"/>
            <rFont val="Tahoma"/>
            <family val="2"/>
          </rPr>
          <t>Author:</t>
        </r>
        <r>
          <rPr>
            <sz val="8"/>
            <color indexed="81"/>
            <rFont val="Tahoma"/>
            <family val="2"/>
          </rPr>
          <t xml:space="preserve">
15 months</t>
        </r>
      </text>
    </comment>
    <comment ref="U112" authorId="0" shapeId="0">
      <text>
        <r>
          <rPr>
            <b/>
            <sz val="9"/>
            <color indexed="81"/>
            <rFont val="Tahoma"/>
            <family val="2"/>
          </rPr>
          <t>Author:</t>
        </r>
        <r>
          <rPr>
            <sz val="9"/>
            <color indexed="81"/>
            <rFont val="Tahoma"/>
            <family val="2"/>
          </rPr>
          <t xml:space="preserve">
ficou de pagar:  15$000
</t>
        </r>
      </text>
    </comment>
    <comment ref="W112" authorId="0" shapeId="0">
      <text>
        <r>
          <rPr>
            <b/>
            <sz val="9"/>
            <color indexed="81"/>
            <rFont val="Tahoma"/>
            <family val="2"/>
          </rPr>
          <t>Author:</t>
        </r>
        <r>
          <rPr>
            <sz val="9"/>
            <color indexed="81"/>
            <rFont val="Tahoma"/>
            <family val="2"/>
          </rPr>
          <t xml:space="preserve">
ficou de pagar:  15$000
</t>
        </r>
      </text>
    </comment>
    <comment ref="B115" authorId="0" shapeId="0">
      <text>
        <r>
          <rPr>
            <b/>
            <sz val="8"/>
            <color indexed="81"/>
            <rFont val="Tahoma"/>
            <family val="2"/>
          </rPr>
          <t>Author:</t>
        </r>
        <r>
          <rPr>
            <sz val="8"/>
            <color indexed="81"/>
            <rFont val="Tahoma"/>
            <family val="2"/>
          </rPr>
          <t xml:space="preserve">
this is for day laborers' pay to do this work.</t>
        </r>
      </text>
    </comment>
    <comment ref="C115" authorId="0" shapeId="0">
      <text>
        <r>
          <rPr>
            <b/>
            <sz val="8"/>
            <color indexed="81"/>
            <rFont val="Tahoma"/>
            <family val="2"/>
          </rPr>
          <t>Author:</t>
        </r>
        <r>
          <rPr>
            <sz val="8"/>
            <color indexed="81"/>
            <rFont val="Tahoma"/>
            <family val="2"/>
          </rPr>
          <t xml:space="preserve">
this is for day laborers' pay to do this work.</t>
        </r>
      </text>
    </comment>
    <comment ref="D115" authorId="0" shapeId="0">
      <text>
        <r>
          <rPr>
            <b/>
            <sz val="8"/>
            <color indexed="81"/>
            <rFont val="Tahoma"/>
            <family val="2"/>
          </rPr>
          <t>Author:</t>
        </r>
        <r>
          <rPr>
            <sz val="8"/>
            <color indexed="81"/>
            <rFont val="Tahoma"/>
            <family val="2"/>
          </rPr>
          <t xml:space="preserve">
this is for day laborers' pay to do this work.</t>
        </r>
      </text>
    </comment>
    <comment ref="E115" authorId="0" shapeId="0">
      <text>
        <r>
          <rPr>
            <b/>
            <sz val="8"/>
            <color indexed="81"/>
            <rFont val="Tahoma"/>
            <family val="2"/>
          </rPr>
          <t>Author:</t>
        </r>
        <r>
          <rPr>
            <sz val="8"/>
            <color indexed="81"/>
            <rFont val="Tahoma"/>
            <family val="2"/>
          </rPr>
          <t xml:space="preserve">
this is for day laborers' pay to do this work.</t>
        </r>
      </text>
    </comment>
    <comment ref="BC117" authorId="0" shapeId="0">
      <text>
        <r>
          <rPr>
            <b/>
            <sz val="8"/>
            <color indexed="81"/>
            <rFont val="Tahoma"/>
            <family val="2"/>
          </rPr>
          <t>Author:</t>
        </r>
        <r>
          <rPr>
            <sz val="8"/>
            <color indexed="81"/>
            <rFont val="Tahoma"/>
            <family val="2"/>
          </rPr>
          <t xml:space="preserve">
streets and ants</t>
        </r>
      </text>
    </comment>
    <comment ref="AF122" authorId="0" shapeId="0">
      <text>
        <r>
          <rPr>
            <b/>
            <sz val="9"/>
            <color indexed="81"/>
            <rFont val="Tahoma"/>
            <family val="2"/>
          </rPr>
          <t>Author:</t>
        </r>
        <r>
          <rPr>
            <sz val="9"/>
            <color indexed="81"/>
            <rFont val="Tahoma"/>
            <family val="2"/>
          </rPr>
          <t xml:space="preserve">
Obras Publicas inclusive a demolicao da Matriz</t>
        </r>
      </text>
    </comment>
    <comment ref="AZ122" authorId="0" shapeId="0">
      <text>
        <r>
          <rPr>
            <b/>
            <sz val="8"/>
            <color indexed="81"/>
            <rFont val="Tahoma"/>
            <family val="2"/>
          </rPr>
          <t>Author:</t>
        </r>
        <r>
          <rPr>
            <sz val="8"/>
            <color indexed="81"/>
            <rFont val="Tahoma"/>
            <family val="2"/>
          </rPr>
          <t xml:space="preserve">
specifically, money to construct a bridge.</t>
        </r>
      </text>
    </comment>
    <comment ref="BA122" authorId="0" shapeId="0">
      <text>
        <r>
          <rPr>
            <b/>
            <sz val="8"/>
            <color indexed="81"/>
            <rFont val="Tahoma"/>
            <family val="2"/>
          </rPr>
          <t>Author:</t>
        </r>
        <r>
          <rPr>
            <sz val="8"/>
            <color indexed="81"/>
            <rFont val="Tahoma"/>
            <family val="2"/>
          </rPr>
          <t xml:space="preserve">
just expropriations</t>
        </r>
      </text>
    </comment>
    <comment ref="BC122" authorId="0" shapeId="0">
      <text>
        <r>
          <rPr>
            <b/>
            <sz val="8"/>
            <color indexed="81"/>
            <rFont val="Tahoma"/>
            <family val="2"/>
          </rPr>
          <t>Author:</t>
        </r>
        <r>
          <rPr>
            <sz val="8"/>
            <color indexed="81"/>
            <rFont val="Tahoma"/>
            <family val="2"/>
          </rPr>
          <t xml:space="preserve">
bridge construction</t>
        </r>
      </text>
    </comment>
    <comment ref="B131" authorId="0" shapeId="0">
      <text>
        <r>
          <rPr>
            <b/>
            <sz val="8"/>
            <color indexed="81"/>
            <rFont val="Tahoma"/>
            <family val="2"/>
          </rPr>
          <t>Author:</t>
        </r>
        <r>
          <rPr>
            <sz val="8"/>
            <color indexed="81"/>
            <rFont val="Tahoma"/>
            <family val="2"/>
          </rPr>
          <t xml:space="preserve">
chains and hardware for prison</t>
        </r>
      </text>
    </comment>
    <comment ref="AM138" authorId="0" shapeId="0">
      <text>
        <r>
          <rPr>
            <b/>
            <sz val="9"/>
            <color indexed="81"/>
            <rFont val="Tahoma"/>
            <family val="2"/>
          </rPr>
          <t>Author:</t>
        </r>
        <r>
          <rPr>
            <sz val="9"/>
            <color indexed="81"/>
            <rFont val="Tahoma"/>
            <family val="2"/>
          </rPr>
          <t xml:space="preserve">
limpeza
</t>
        </r>
      </text>
    </comment>
    <comment ref="H139" authorId="0" shapeId="0">
      <text>
        <r>
          <rPr>
            <b/>
            <sz val="8"/>
            <color indexed="81"/>
            <rFont val="Tahoma"/>
            <family val="2"/>
          </rPr>
          <t>Author:</t>
        </r>
        <r>
          <rPr>
            <sz val="8"/>
            <color indexed="81"/>
            <rFont val="Tahoma"/>
            <family val="2"/>
          </rPr>
          <t xml:space="preserve">
included in Expediente da Camara expenses below.</t>
        </r>
      </text>
    </comment>
    <comment ref="A140" authorId="0" shapeId="0">
      <text>
        <r>
          <rPr>
            <b/>
            <sz val="9"/>
            <color indexed="81"/>
            <rFont val="Tahoma"/>
            <family val="2"/>
          </rPr>
          <t>Author:</t>
        </r>
        <r>
          <rPr>
            <sz val="9"/>
            <color indexed="81"/>
            <rFont val="Tahoma"/>
            <family val="2"/>
          </rPr>
          <t xml:space="preserve">
The municipality was obliged to pay half costs of proceedings of poor defendants when they are acquitted.  The state was obligated to pay half costs of the proceedings of poor defendants when they were found guilty.</t>
        </r>
      </text>
    </comment>
    <comment ref="BA145" authorId="0" shapeId="0">
      <text>
        <r>
          <rPr>
            <b/>
            <sz val="8"/>
            <color indexed="81"/>
            <rFont val="Tahoma"/>
            <family val="2"/>
          </rPr>
          <t>Author:</t>
        </r>
        <r>
          <rPr>
            <sz val="8"/>
            <color indexed="81"/>
            <rFont val="Tahoma"/>
            <family val="2"/>
          </rPr>
          <t xml:space="preserve">
specifically, the "Matadouro Novo"</t>
        </r>
      </text>
    </comment>
    <comment ref="B150" authorId="0" shapeId="0">
      <text>
        <r>
          <rPr>
            <b/>
            <sz val="8"/>
            <color indexed="81"/>
            <rFont val="Tahoma"/>
            <family val="2"/>
          </rPr>
          <t>Author:</t>
        </r>
        <r>
          <rPr>
            <sz val="8"/>
            <color indexed="81"/>
            <rFont val="Tahoma"/>
            <family val="2"/>
          </rPr>
          <t xml:space="preserve">
4 books for Camara notes [escripturacoes]</t>
        </r>
      </text>
    </comment>
    <comment ref="E150" authorId="0" shapeId="0">
      <text>
        <r>
          <rPr>
            <b/>
            <sz val="8"/>
            <color indexed="81"/>
            <rFont val="Tahoma"/>
            <family val="2"/>
          </rPr>
          <t>Author:</t>
        </r>
        <r>
          <rPr>
            <sz val="8"/>
            <color indexed="81"/>
            <rFont val="Tahoma"/>
            <family val="2"/>
          </rPr>
          <t xml:space="preserve">
one book</t>
        </r>
      </text>
    </comment>
    <comment ref="H152" authorId="0" shapeId="0">
      <text>
        <r>
          <rPr>
            <b/>
            <sz val="8"/>
            <color indexed="81"/>
            <rFont val="Tahoma"/>
            <family val="2"/>
          </rPr>
          <t>Author:</t>
        </r>
        <r>
          <rPr>
            <sz val="8"/>
            <color indexed="81"/>
            <rFont val="Tahoma"/>
            <family val="2"/>
          </rPr>
          <t xml:space="preserve">
includes lights for jail, but no way to know how much.</t>
        </r>
      </text>
    </comment>
    <comment ref="W152" authorId="0" shapeId="0">
      <text>
        <r>
          <rPr>
            <b/>
            <sz val="9"/>
            <color indexed="81"/>
            <rFont val="Tahoma"/>
            <family val="2"/>
          </rPr>
          <t>Author:</t>
        </r>
        <r>
          <rPr>
            <sz val="9"/>
            <color indexed="81"/>
            <rFont val="Tahoma"/>
            <family val="2"/>
          </rPr>
          <t xml:space="preserve">
with elections</t>
        </r>
      </text>
    </comment>
    <comment ref="BA154" authorId="0" shapeId="0">
      <text>
        <r>
          <rPr>
            <b/>
            <sz val="8"/>
            <color indexed="81"/>
            <rFont val="Tahoma"/>
            <family val="2"/>
          </rPr>
          <t>Author:</t>
        </r>
        <r>
          <rPr>
            <sz val="8"/>
            <color indexed="81"/>
            <rFont val="Tahoma"/>
            <family val="2"/>
          </rPr>
          <t xml:space="preserve">
specifically, printing of Codigo de Posturas</t>
        </r>
      </text>
    </comment>
    <comment ref="D157" authorId="0" shapeId="0">
      <text>
        <r>
          <rPr>
            <b/>
            <sz val="8"/>
            <color indexed="81"/>
            <rFont val="Tahoma"/>
            <family val="2"/>
          </rPr>
          <t>Author:</t>
        </r>
        <r>
          <rPr>
            <sz val="8"/>
            <color indexed="81"/>
            <rFont val="Tahoma"/>
            <family val="2"/>
          </rPr>
          <t xml:space="preserve">
article 1 paragraph 11 of law 31 of March of 1836 in the despezas eventuais.</t>
        </r>
      </text>
    </comment>
    <comment ref="AA162" authorId="0" shapeId="0">
      <text>
        <r>
          <rPr>
            <b/>
            <sz val="9"/>
            <color indexed="81"/>
            <rFont val="Tahoma"/>
            <family val="2"/>
          </rPr>
          <t>Author:</t>
        </r>
        <r>
          <rPr>
            <sz val="9"/>
            <color indexed="81"/>
            <rFont val="Tahoma"/>
            <family val="2"/>
          </rPr>
          <t xml:space="preserve">
subvention from province</t>
        </r>
      </text>
    </comment>
    <comment ref="S163" authorId="0" shapeId="0">
      <text>
        <r>
          <rPr>
            <b/>
            <sz val="8"/>
            <color indexed="81"/>
            <rFont val="Tahoma"/>
            <family val="2"/>
          </rPr>
          <t>Author:</t>
        </r>
        <r>
          <rPr>
            <sz val="8"/>
            <color indexed="81"/>
            <rFont val="Tahoma"/>
            <family val="2"/>
          </rPr>
          <t xml:space="preserve">
half is from fiscal year 1851</t>
        </r>
      </text>
    </comment>
    <comment ref="U166" authorId="0" shapeId="0">
      <text>
        <r>
          <rPr>
            <b/>
            <sz val="9"/>
            <color indexed="81"/>
            <rFont val="Tahoma"/>
            <family val="2"/>
          </rPr>
          <t>Author:</t>
        </r>
        <r>
          <rPr>
            <sz val="9"/>
            <color indexed="81"/>
            <rFont val="Tahoma"/>
            <family val="2"/>
          </rPr>
          <t xml:space="preserve">
illegible
</t>
        </r>
      </text>
    </comment>
    <comment ref="X169" authorId="0" shapeId="0">
      <text>
        <r>
          <rPr>
            <b/>
            <sz val="9"/>
            <color indexed="81"/>
            <rFont val="Tahoma"/>
            <family val="2"/>
          </rPr>
          <t>Author:</t>
        </r>
        <r>
          <rPr>
            <sz val="9"/>
            <color indexed="81"/>
            <rFont val="Tahoma"/>
            <family val="2"/>
          </rPr>
          <t xml:space="preserve">
</t>
        </r>
        <r>
          <rPr>
            <sz val="8"/>
            <color indexed="81"/>
            <rFont val="Tahoma"/>
            <family val="2"/>
          </rPr>
          <t>They say the total expenses were 6144$080, a difference of 118$000.  Perhaps they didn't pay salaries in full.  There are dashes by each of the three salaries, but no column saying "ficou de pagar"</t>
        </r>
      </text>
    </comment>
    <comment ref="W178" authorId="0" shapeId="0">
      <text>
        <r>
          <rPr>
            <b/>
            <sz val="9"/>
            <color indexed="81"/>
            <rFont val="Tahoma"/>
            <family val="2"/>
          </rPr>
          <t>Author:</t>
        </r>
        <r>
          <rPr>
            <sz val="9"/>
            <color indexed="81"/>
            <rFont val="Tahoma"/>
            <family val="2"/>
          </rPr>
          <t xml:space="preserve">
corresponds to Receita "ficou de cobrar"</t>
        </r>
      </text>
    </comment>
  </commentList>
</comments>
</file>

<file path=xl/comments3.xml><?xml version="1.0" encoding="utf-8"?>
<comments xmlns="http://schemas.openxmlformats.org/spreadsheetml/2006/main">
  <authors>
    <author>Author</author>
  </authors>
  <commentList>
    <comment ref="B4" authorId="0" shapeId="0">
      <text>
        <r>
          <rPr>
            <b/>
            <sz val="8"/>
            <color indexed="81"/>
            <rFont val="Tahoma"/>
            <family val="2"/>
          </rPr>
          <t>Author:</t>
        </r>
        <r>
          <rPr>
            <sz val="8"/>
            <color indexed="81"/>
            <rFont val="Tahoma"/>
            <family val="2"/>
          </rPr>
          <t xml:space="preserve">
1 October to 30 September</t>
        </r>
      </text>
    </comment>
    <comment ref="E4" authorId="0" shapeId="0">
      <text>
        <r>
          <rPr>
            <b/>
            <sz val="8"/>
            <color indexed="81"/>
            <rFont val="Tahoma"/>
            <family val="2"/>
          </rPr>
          <t>Author:</t>
        </r>
        <r>
          <rPr>
            <sz val="8"/>
            <color indexed="81"/>
            <rFont val="Tahoma"/>
            <family val="2"/>
          </rPr>
          <t xml:space="preserve">
1 October to 30 September</t>
        </r>
      </text>
    </comment>
    <comment ref="F4" authorId="0" shapeId="0">
      <text>
        <r>
          <rPr>
            <b/>
            <sz val="8"/>
            <color indexed="81"/>
            <rFont val="Tahoma"/>
            <family val="2"/>
          </rPr>
          <t>Author:</t>
        </r>
        <r>
          <rPr>
            <sz val="8"/>
            <color indexed="81"/>
            <rFont val="Tahoma"/>
            <family val="2"/>
          </rPr>
          <t xml:space="preserve">
1 October to 30 September</t>
        </r>
      </text>
    </comment>
    <comment ref="G4" authorId="0" shapeId="0">
      <text>
        <r>
          <rPr>
            <b/>
            <sz val="8"/>
            <color indexed="81"/>
            <rFont val="Tahoma"/>
            <family val="2"/>
          </rPr>
          <t>Author:</t>
        </r>
        <r>
          <rPr>
            <sz val="8"/>
            <color indexed="81"/>
            <rFont val="Tahoma"/>
            <family val="2"/>
          </rPr>
          <t xml:space="preserve">
1 October to 30 September</t>
        </r>
      </text>
    </comment>
    <comment ref="H4" authorId="0" shapeId="0">
      <text>
        <r>
          <rPr>
            <b/>
            <sz val="8"/>
            <color indexed="81"/>
            <rFont val="Tahoma"/>
            <family val="2"/>
          </rPr>
          <t>Author:</t>
        </r>
        <r>
          <rPr>
            <sz val="8"/>
            <color indexed="81"/>
            <rFont val="Tahoma"/>
            <family val="2"/>
          </rPr>
          <t xml:space="preserve">
1 October to 30 September</t>
        </r>
      </text>
    </comment>
    <comment ref="I4" authorId="0" shapeId="0">
      <text>
        <r>
          <rPr>
            <b/>
            <sz val="8"/>
            <color indexed="81"/>
            <rFont val="Tahoma"/>
            <family val="2"/>
          </rPr>
          <t>Author:</t>
        </r>
        <r>
          <rPr>
            <sz val="8"/>
            <color indexed="81"/>
            <rFont val="Tahoma"/>
            <family val="2"/>
          </rPr>
          <t xml:space="preserve">
1 October to 30 September</t>
        </r>
      </text>
    </comment>
    <comment ref="J4" authorId="0" shapeId="0">
      <text>
        <r>
          <rPr>
            <b/>
            <sz val="8"/>
            <color indexed="81"/>
            <rFont val="Tahoma"/>
            <family val="2"/>
          </rPr>
          <t>Author:</t>
        </r>
        <r>
          <rPr>
            <sz val="8"/>
            <color indexed="81"/>
            <rFont val="Tahoma"/>
            <family val="2"/>
          </rPr>
          <t xml:space="preserve">
1 October to 30 September</t>
        </r>
      </text>
    </comment>
    <comment ref="K4" authorId="0" shapeId="0">
      <text>
        <r>
          <rPr>
            <b/>
            <sz val="8"/>
            <color indexed="81"/>
            <rFont val="Tahoma"/>
            <family val="2"/>
          </rPr>
          <t>Author:</t>
        </r>
        <r>
          <rPr>
            <sz val="8"/>
            <color indexed="81"/>
            <rFont val="Tahoma"/>
            <family val="2"/>
          </rPr>
          <t xml:space="preserve">
1 October to 30 September</t>
        </r>
      </text>
    </comment>
    <comment ref="M4" authorId="0" shapeId="0">
      <text>
        <r>
          <rPr>
            <b/>
            <sz val="8"/>
            <color indexed="81"/>
            <rFont val="Tahoma"/>
            <family val="2"/>
          </rPr>
          <t>Author:</t>
        </r>
        <r>
          <rPr>
            <sz val="8"/>
            <color indexed="81"/>
            <rFont val="Tahoma"/>
            <family val="2"/>
          </rPr>
          <t xml:space="preserve">
1 October to 30 September</t>
        </r>
      </text>
    </comment>
    <comment ref="J6" authorId="0" shapeId="0">
      <text>
        <r>
          <rPr>
            <b/>
            <sz val="8"/>
            <color indexed="81"/>
            <rFont val="Tahoma"/>
            <family val="2"/>
          </rPr>
          <t>Author:</t>
        </r>
        <r>
          <rPr>
            <sz val="8"/>
            <color indexed="81"/>
            <rFont val="Tahoma"/>
            <family val="2"/>
          </rPr>
          <t xml:space="preserve">
some of the Despeza pages are missing, but the total is available.</t>
        </r>
      </text>
    </comment>
    <comment ref="A12" authorId="0" shapeId="0">
      <text>
        <r>
          <rPr>
            <b/>
            <sz val="8"/>
            <color indexed="81"/>
            <rFont val="Tahoma"/>
            <family val="2"/>
          </rPr>
          <t>Author:</t>
        </r>
        <r>
          <rPr>
            <sz val="8"/>
            <color indexed="81"/>
            <rFont val="Tahoma"/>
            <family val="2"/>
          </rPr>
          <t xml:space="preserve">
Lei Provincial 4 March 1840 and 16 March 1846  </t>
        </r>
      </text>
    </comment>
    <comment ref="AL13" authorId="0" shapeId="0">
      <text>
        <r>
          <rPr>
            <b/>
            <sz val="9"/>
            <color indexed="81"/>
            <rFont val="Tahoma"/>
            <family val="2"/>
          </rPr>
          <t>Author:</t>
        </r>
        <r>
          <rPr>
            <sz val="9"/>
            <color indexed="81"/>
            <rFont val="Tahoma"/>
            <family val="2"/>
          </rPr>
          <t xml:space="preserve">
</t>
        </r>
        <r>
          <rPr>
            <sz val="8"/>
            <color indexed="81"/>
            <rFont val="Tahoma"/>
            <family val="2"/>
          </rPr>
          <t>provincial law 40 of 28 marco 1844</t>
        </r>
      </text>
    </comment>
    <comment ref="AG15" authorId="0" shapeId="0">
      <text>
        <r>
          <rPr>
            <b/>
            <sz val="8"/>
            <color indexed="81"/>
            <rFont val="Tahoma"/>
            <family val="2"/>
          </rPr>
          <t>Author:</t>
        </r>
        <r>
          <rPr>
            <sz val="8"/>
            <color indexed="81"/>
            <rFont val="Tahoma"/>
            <family val="2"/>
          </rPr>
          <t xml:space="preserve">
provincial law 13 of 19 march 1858</t>
        </r>
      </text>
    </comment>
    <comment ref="AH15" authorId="0" shapeId="0">
      <text>
        <r>
          <rPr>
            <b/>
            <sz val="8"/>
            <color indexed="81"/>
            <rFont val="Tahoma"/>
            <family val="2"/>
          </rPr>
          <t>Author:</t>
        </r>
        <r>
          <rPr>
            <sz val="8"/>
            <color indexed="81"/>
            <rFont val="Tahoma"/>
            <family val="2"/>
          </rPr>
          <t xml:space="preserve">
provincial law 13 of 19 march 1858</t>
        </r>
      </text>
    </comment>
    <comment ref="AI15" authorId="0" shapeId="0">
      <text>
        <r>
          <rPr>
            <b/>
            <sz val="8"/>
            <color indexed="81"/>
            <rFont val="Tahoma"/>
            <family val="2"/>
          </rPr>
          <t>Author:</t>
        </r>
        <r>
          <rPr>
            <sz val="8"/>
            <color indexed="81"/>
            <rFont val="Tahoma"/>
            <family val="2"/>
          </rPr>
          <t xml:space="preserve">
"Recebido do imposto provincial sobre licores e aguardentes, carne verde de applicacao especial, liquido." So revenue sharing?</t>
        </r>
      </text>
    </comment>
    <comment ref="AJ15" authorId="0" shapeId="0">
      <text>
        <r>
          <rPr>
            <b/>
            <sz val="8"/>
            <color indexed="81"/>
            <rFont val="Tahoma"/>
            <family val="2"/>
          </rPr>
          <t>Author:</t>
        </r>
        <r>
          <rPr>
            <sz val="8"/>
            <color indexed="81"/>
            <rFont val="Tahoma"/>
            <family val="2"/>
          </rPr>
          <t xml:space="preserve">
provincial law 13 of 19 march 1858</t>
        </r>
      </text>
    </comment>
    <comment ref="AK15" authorId="0" shapeId="0">
      <text>
        <r>
          <rPr>
            <b/>
            <sz val="8"/>
            <color indexed="81"/>
            <rFont val="Tahoma"/>
            <family val="2"/>
          </rPr>
          <t>Author:</t>
        </r>
        <r>
          <rPr>
            <sz val="8"/>
            <color indexed="81"/>
            <rFont val="Tahoma"/>
            <family val="2"/>
          </rPr>
          <t xml:space="preserve">
provincial law 13 of 19 march 1858</t>
        </r>
      </text>
    </comment>
    <comment ref="AL35" authorId="0" shapeId="0">
      <text>
        <r>
          <rPr>
            <b/>
            <sz val="9"/>
            <color indexed="81"/>
            <rFont val="Tahoma"/>
            <family val="2"/>
          </rPr>
          <t>Author:</t>
        </r>
        <r>
          <rPr>
            <sz val="9"/>
            <color indexed="81"/>
            <rFont val="Tahoma"/>
            <family val="2"/>
          </rPr>
          <t xml:space="preserve">
</t>
        </r>
        <r>
          <rPr>
            <sz val="8"/>
            <color indexed="81"/>
            <rFont val="Tahoma"/>
            <family val="2"/>
          </rPr>
          <t>imposto sobre pano de algodao de applicacao especial, Lei de 3 de Agosto de 1869</t>
        </r>
      </text>
    </comment>
    <comment ref="AJ39" authorId="0" shapeId="0">
      <text>
        <r>
          <rPr>
            <b/>
            <sz val="8"/>
            <color indexed="81"/>
            <rFont val="Tahoma"/>
            <family val="2"/>
          </rPr>
          <t>Author:</t>
        </r>
        <r>
          <rPr>
            <sz val="8"/>
            <color indexed="81"/>
            <rFont val="Tahoma"/>
            <family val="2"/>
          </rPr>
          <t xml:space="preserve">
art. 1 of tax table</t>
        </r>
      </text>
    </comment>
    <comment ref="AK39" authorId="0" shapeId="0">
      <text>
        <r>
          <rPr>
            <b/>
            <sz val="8"/>
            <color indexed="81"/>
            <rFont val="Tahoma"/>
            <family val="2"/>
          </rPr>
          <t>Author:</t>
        </r>
        <r>
          <rPr>
            <sz val="8"/>
            <color indexed="81"/>
            <rFont val="Tahoma"/>
            <family val="2"/>
          </rPr>
          <t xml:space="preserve">
art. 1 of tax table</t>
        </r>
      </text>
    </comment>
    <comment ref="AL39" authorId="0" shapeId="0">
      <text>
        <r>
          <rPr>
            <b/>
            <sz val="8"/>
            <color indexed="81"/>
            <rFont val="Tahoma"/>
            <family val="2"/>
          </rPr>
          <t>Author:</t>
        </r>
        <r>
          <rPr>
            <sz val="8"/>
            <color indexed="81"/>
            <rFont val="Tahoma"/>
            <family val="2"/>
          </rPr>
          <t xml:space="preserve">
art. 1 of tax table</t>
        </r>
      </text>
    </comment>
    <comment ref="AK44" authorId="0" shapeId="0">
      <text>
        <r>
          <rPr>
            <b/>
            <sz val="8"/>
            <color indexed="81"/>
            <rFont val="Tahoma"/>
            <family val="2"/>
          </rPr>
          <t>Author:</t>
        </r>
        <r>
          <rPr>
            <sz val="8"/>
            <color indexed="81"/>
            <rFont val="Tahoma"/>
            <family val="2"/>
          </rPr>
          <t xml:space="preserve">
art 2 of tax table</t>
        </r>
      </text>
    </comment>
    <comment ref="AL44" authorId="0" shapeId="0">
      <text>
        <r>
          <rPr>
            <b/>
            <sz val="8"/>
            <color indexed="81"/>
            <rFont val="Tahoma"/>
            <family val="2"/>
          </rPr>
          <t>Author:</t>
        </r>
        <r>
          <rPr>
            <sz val="8"/>
            <color indexed="81"/>
            <rFont val="Tahoma"/>
            <family val="2"/>
          </rPr>
          <t xml:space="preserve">
art 2 of tax table</t>
        </r>
      </text>
    </comment>
    <comment ref="A55" authorId="0" shapeId="0">
      <text>
        <r>
          <rPr>
            <b/>
            <sz val="8"/>
            <color indexed="81"/>
            <rFont val="Tahoma"/>
            <family val="2"/>
          </rPr>
          <t>Author:</t>
        </r>
        <r>
          <rPr>
            <sz val="8"/>
            <color indexed="81"/>
            <rFont val="Tahoma"/>
            <family val="2"/>
          </rPr>
          <t xml:space="preserve">
Article 9 of the Law of 23 October 1832</t>
        </r>
      </text>
    </comment>
    <comment ref="R55" authorId="0" shapeId="0">
      <text>
        <r>
          <rPr>
            <b/>
            <sz val="9"/>
            <color indexed="81"/>
            <rFont val="Tahoma"/>
            <family val="2"/>
          </rPr>
          <t>Author:</t>
        </r>
        <r>
          <rPr>
            <sz val="9"/>
            <color indexed="81"/>
            <rFont val="Tahoma"/>
            <family val="2"/>
          </rPr>
          <t xml:space="preserve">
Lei 23 de Outubro de 1832</t>
        </r>
      </text>
    </comment>
    <comment ref="A57" authorId="0" shapeId="0">
      <text>
        <r>
          <rPr>
            <b/>
            <sz val="8"/>
            <color indexed="81"/>
            <rFont val="Tahoma"/>
            <family val="2"/>
          </rPr>
          <t>Author:</t>
        </r>
        <r>
          <rPr>
            <sz val="8"/>
            <color indexed="81"/>
            <rFont val="Tahoma"/>
            <family val="2"/>
          </rPr>
          <t xml:space="preserve">
lei provincial 40 de 23 marco de 1844</t>
        </r>
      </text>
    </comment>
    <comment ref="AH57" authorId="0" shapeId="0">
      <text>
        <r>
          <rPr>
            <b/>
            <sz val="8"/>
            <color indexed="81"/>
            <rFont val="Tahoma"/>
            <family val="2"/>
          </rPr>
          <t>Author:</t>
        </r>
        <r>
          <rPr>
            <sz val="8"/>
            <color indexed="81"/>
            <rFont val="Tahoma"/>
            <family val="2"/>
          </rPr>
          <t xml:space="preserve">
provincial law 13 of 19 march 1858</t>
        </r>
      </text>
    </comment>
    <comment ref="AK57" authorId="0" shapeId="0">
      <text>
        <r>
          <rPr>
            <b/>
            <sz val="8"/>
            <color indexed="81"/>
            <rFont val="Tahoma"/>
            <family val="2"/>
          </rPr>
          <t>Author:</t>
        </r>
        <r>
          <rPr>
            <sz val="8"/>
            <color indexed="81"/>
            <rFont val="Tahoma"/>
            <family val="2"/>
          </rPr>
          <t xml:space="preserve">
provincial law 19 march 1858</t>
        </r>
      </text>
    </comment>
    <comment ref="AL57" authorId="0" shapeId="0">
      <text>
        <r>
          <rPr>
            <b/>
            <sz val="9"/>
            <color indexed="81"/>
            <rFont val="Tahoma"/>
            <family val="2"/>
          </rPr>
          <t>Author:</t>
        </r>
        <r>
          <rPr>
            <sz val="9"/>
            <color indexed="81"/>
            <rFont val="Tahoma"/>
            <family val="2"/>
          </rPr>
          <t xml:space="preserve">
</t>
        </r>
        <r>
          <rPr>
            <sz val="8"/>
            <color indexed="81"/>
            <rFont val="Tahoma"/>
            <family val="2"/>
          </rPr>
          <t>provincial law no. 40 de 23 marco de 1844</t>
        </r>
      </text>
    </comment>
    <comment ref="A59" authorId="0" shapeId="0">
      <text>
        <r>
          <rPr>
            <b/>
            <sz val="8"/>
            <color indexed="81"/>
            <rFont val="Tahoma"/>
            <family val="2"/>
          </rPr>
          <t>Author:</t>
        </r>
        <r>
          <rPr>
            <sz val="8"/>
            <color indexed="81"/>
            <rFont val="Tahoma"/>
            <family val="2"/>
          </rPr>
          <t xml:space="preserve">
A tax on the annual pay of public servants, contracts, titles of privilege, soldier's pay,  etc.</t>
        </r>
      </text>
    </comment>
    <comment ref="U59" authorId="0" shapeId="0">
      <text>
        <r>
          <rPr>
            <b/>
            <sz val="8"/>
            <color indexed="81"/>
            <rFont val="Tahoma"/>
            <family val="2"/>
          </rPr>
          <t>Author:</t>
        </r>
        <r>
          <rPr>
            <sz val="8"/>
            <color indexed="81"/>
            <rFont val="Tahoma"/>
            <family val="2"/>
          </rPr>
          <t xml:space="preserve">
Resolutions of the Provincial Legislative Assembly of 7 March 1847 and 24 March 1849 and the 7th part of paragraph 5 of articl 2 of Law no. 13 of 17 July 1852.  Line items for Articles 80-85 and 89.</t>
        </r>
      </text>
    </comment>
    <comment ref="AI59" authorId="0" shapeId="0">
      <text>
        <r>
          <rPr>
            <b/>
            <sz val="8"/>
            <color indexed="81"/>
            <rFont val="Tahoma"/>
            <family val="2"/>
          </rPr>
          <t>Author:</t>
        </r>
        <r>
          <rPr>
            <sz val="8"/>
            <color indexed="81"/>
            <rFont val="Tahoma"/>
            <family val="2"/>
          </rPr>
          <t xml:space="preserve">
Provincial Law 7 March 1847, muni tax table article 66 para 12.  "recebido de novas e velhas imposicoes, sobre estabelecimentos de negocios, sobre espectaculos, sobre esposicao de animaes a vendas nos [illeg] e outros objectos. </t>
        </r>
      </text>
    </comment>
    <comment ref="AH66" authorId="0" shapeId="0">
      <text>
        <r>
          <rPr>
            <b/>
            <sz val="8"/>
            <color indexed="81"/>
            <rFont val="Tahoma"/>
            <family val="2"/>
          </rPr>
          <t>Author:</t>
        </r>
        <r>
          <rPr>
            <sz val="8"/>
            <color indexed="81"/>
            <rFont val="Tahoma"/>
            <family val="2"/>
          </rPr>
          <t xml:space="preserve">
provincial law 22 april 1865</t>
        </r>
      </text>
    </comment>
    <comment ref="AI66" authorId="0" shapeId="0">
      <text>
        <r>
          <rPr>
            <b/>
            <sz val="8"/>
            <color indexed="81"/>
            <rFont val="Tahoma"/>
            <family val="2"/>
          </rPr>
          <t>Author:</t>
        </r>
        <r>
          <rPr>
            <sz val="8"/>
            <color indexed="81"/>
            <rFont val="Tahoma"/>
            <family val="2"/>
          </rPr>
          <t xml:space="preserve">
provincial law 22 april 1865</t>
        </r>
      </text>
    </comment>
    <comment ref="AJ66" authorId="0" shapeId="0">
      <text>
        <r>
          <rPr>
            <b/>
            <sz val="8"/>
            <color indexed="81"/>
            <rFont val="Tahoma"/>
            <family val="2"/>
          </rPr>
          <t>Author:</t>
        </r>
        <r>
          <rPr>
            <sz val="8"/>
            <color indexed="81"/>
            <rFont val="Tahoma"/>
            <family val="2"/>
          </rPr>
          <t xml:space="preserve">
provincial law 22 april 1865</t>
        </r>
      </text>
    </comment>
    <comment ref="AK66" authorId="0" shapeId="0">
      <text>
        <r>
          <rPr>
            <b/>
            <sz val="8"/>
            <color indexed="81"/>
            <rFont val="Tahoma"/>
            <family val="2"/>
          </rPr>
          <t>Author:</t>
        </r>
        <r>
          <rPr>
            <sz val="8"/>
            <color indexed="81"/>
            <rFont val="Tahoma"/>
            <family val="2"/>
          </rPr>
          <t xml:space="preserve">
provincial law 22 april 1865</t>
        </r>
      </text>
    </comment>
    <comment ref="AL66" authorId="0" shapeId="0">
      <text>
        <r>
          <rPr>
            <b/>
            <sz val="8"/>
            <color indexed="81"/>
            <rFont val="Tahoma"/>
            <family val="2"/>
          </rPr>
          <t>Author:</t>
        </r>
        <r>
          <rPr>
            <sz val="8"/>
            <color indexed="81"/>
            <rFont val="Tahoma"/>
            <family val="2"/>
          </rPr>
          <t xml:space="preserve">
provincial law 22 april 1865.  "sommas atrasadas"</t>
        </r>
      </text>
    </comment>
    <comment ref="AI75" authorId="0" shapeId="0">
      <text>
        <r>
          <rPr>
            <b/>
            <sz val="8"/>
            <color indexed="81"/>
            <rFont val="Tahoma"/>
            <family val="2"/>
          </rPr>
          <t>Author:</t>
        </r>
        <r>
          <rPr>
            <sz val="8"/>
            <color indexed="81"/>
            <rFont val="Tahoma"/>
            <family val="2"/>
          </rPr>
          <t xml:space="preserve">
this is a municipal tax.  "Liquido producto do imposto m.al sobre escravos vendidos."</t>
        </r>
      </text>
    </comment>
    <comment ref="E77" authorId="0" shapeId="0">
      <text>
        <r>
          <rPr>
            <b/>
            <sz val="8"/>
            <color indexed="81"/>
            <rFont val="Tahoma"/>
            <family val="2"/>
          </rPr>
          <t>Author:</t>
        </r>
        <r>
          <rPr>
            <sz val="8"/>
            <color indexed="81"/>
            <rFont val="Tahoma"/>
            <family val="2"/>
          </rPr>
          <t xml:space="preserve">
2$000 and 10$000 vereadores and juiz fines; balance is infractions.</t>
        </r>
      </text>
    </comment>
    <comment ref="F77" authorId="0" shapeId="0">
      <text>
        <r>
          <rPr>
            <b/>
            <sz val="8"/>
            <color indexed="81"/>
            <rFont val="Tahoma"/>
            <family val="2"/>
          </rPr>
          <t>Author:</t>
        </r>
        <r>
          <rPr>
            <sz val="8"/>
            <color indexed="81"/>
            <rFont val="Tahoma"/>
            <family val="2"/>
          </rPr>
          <t xml:space="preserve">
18$000 and 16$000 vereadores and juiz fines; balance is infractions.</t>
        </r>
      </text>
    </comment>
    <comment ref="G77" authorId="0" shapeId="0">
      <text>
        <r>
          <rPr>
            <b/>
            <sz val="8"/>
            <color indexed="81"/>
            <rFont val="Tahoma"/>
            <family val="2"/>
          </rPr>
          <t>Author:</t>
        </r>
        <r>
          <rPr>
            <sz val="8"/>
            <color indexed="81"/>
            <rFont val="Tahoma"/>
            <family val="2"/>
          </rPr>
          <t xml:space="preserve">
320$000 is infractions; rest is fines, mainly on councilmen for not doing their job.</t>
        </r>
      </text>
    </comment>
    <comment ref="I77" authorId="0" shapeId="0">
      <text>
        <r>
          <rPr>
            <b/>
            <sz val="8"/>
            <color indexed="81"/>
            <rFont val="Tahoma"/>
            <family val="2"/>
          </rPr>
          <t>Author:</t>
        </r>
        <r>
          <rPr>
            <sz val="8"/>
            <color indexed="81"/>
            <rFont val="Tahoma"/>
            <family val="2"/>
          </rPr>
          <t xml:space="preserve">
2  judicial fines, small fine of councilmen, largest portion is from infractions.</t>
        </r>
      </text>
    </comment>
    <comment ref="J77" authorId="0" shapeId="0">
      <text>
        <r>
          <rPr>
            <b/>
            <sz val="8"/>
            <color indexed="81"/>
            <rFont val="Tahoma"/>
            <family val="2"/>
          </rPr>
          <t>Author:</t>
        </r>
        <r>
          <rPr>
            <sz val="8"/>
            <color indexed="81"/>
            <rFont val="Tahoma"/>
            <family val="2"/>
          </rPr>
          <t xml:space="preserve">
about 50-50, judicial and infraction fines.</t>
        </r>
      </text>
    </comment>
    <comment ref="K77" authorId="0" shapeId="0">
      <text>
        <r>
          <rPr>
            <b/>
            <sz val="8"/>
            <color indexed="81"/>
            <rFont val="Tahoma"/>
            <family val="2"/>
          </rPr>
          <t>Author:</t>
        </r>
        <r>
          <rPr>
            <sz val="8"/>
            <color indexed="81"/>
            <rFont val="Tahoma"/>
            <family val="2"/>
          </rPr>
          <t xml:space="preserve">
893$000 from infractions, 16$600 from criminal fines</t>
        </r>
      </text>
    </comment>
    <comment ref="M77" authorId="0" shapeId="0">
      <text>
        <r>
          <rPr>
            <b/>
            <sz val="8"/>
            <color indexed="81"/>
            <rFont val="Tahoma"/>
            <family val="2"/>
          </rPr>
          <t>Author:</t>
        </r>
        <r>
          <rPr>
            <sz val="8"/>
            <color indexed="81"/>
            <rFont val="Tahoma"/>
            <family val="2"/>
          </rPr>
          <t xml:space="preserve">
20$000 from judges, 688$000 for infractions</t>
        </r>
      </text>
    </comment>
    <comment ref="R77" authorId="0" shapeId="0">
      <text>
        <r>
          <rPr>
            <b/>
            <sz val="8"/>
            <color indexed="81"/>
            <rFont val="Tahoma"/>
            <family val="2"/>
          </rPr>
          <t>Author:</t>
        </r>
        <r>
          <rPr>
            <sz val="8"/>
            <color indexed="81"/>
            <rFont val="Tahoma"/>
            <family val="2"/>
          </rPr>
          <t xml:space="preserve">
61$000 by judges; 112$000 for infractions.</t>
        </r>
      </text>
    </comment>
    <comment ref="T77" authorId="0" shapeId="0">
      <text>
        <r>
          <rPr>
            <b/>
            <sz val="8"/>
            <color indexed="81"/>
            <rFont val="Tahoma"/>
            <family val="2"/>
          </rPr>
          <t>Author:</t>
        </r>
        <r>
          <rPr>
            <sz val="8"/>
            <color indexed="81"/>
            <rFont val="Tahoma"/>
            <family val="2"/>
          </rPr>
          <t xml:space="preserve">
from judge = 28$000; posturas = 134$000</t>
        </r>
      </text>
    </comment>
    <comment ref="U77" authorId="0" shapeId="0">
      <text>
        <r>
          <rPr>
            <b/>
            <sz val="8"/>
            <color indexed="81"/>
            <rFont val="Tahoma"/>
            <family val="2"/>
          </rPr>
          <t>Author:</t>
        </r>
        <r>
          <rPr>
            <sz val="8"/>
            <color indexed="81"/>
            <rFont val="Tahoma"/>
            <family val="2"/>
          </rPr>
          <t xml:space="preserve">
9$000 from judges; the balance for infractions.</t>
        </r>
      </text>
    </comment>
    <comment ref="V77" authorId="0" shapeId="0">
      <text>
        <r>
          <rPr>
            <b/>
            <sz val="8"/>
            <color indexed="81"/>
            <rFont val="Tahoma"/>
            <family val="2"/>
          </rPr>
          <t>Author:</t>
        </r>
        <r>
          <rPr>
            <sz val="8"/>
            <color indexed="81"/>
            <rFont val="Tahoma"/>
            <family val="2"/>
          </rPr>
          <t xml:space="preserve">
234$000 from judges, 258$000 for infractions of muni ordinances</t>
        </r>
      </text>
    </comment>
    <comment ref="X77" authorId="0" shapeId="0">
      <text>
        <r>
          <rPr>
            <b/>
            <sz val="8"/>
            <color indexed="81"/>
            <rFont val="Tahoma"/>
            <family val="2"/>
          </rPr>
          <t>Author:</t>
        </r>
        <r>
          <rPr>
            <sz val="8"/>
            <color indexed="81"/>
            <rFont val="Tahoma"/>
            <family val="2"/>
          </rPr>
          <t xml:space="preserve">
by the municipality, 239$000, by judges, 189$000.</t>
        </r>
      </text>
    </comment>
    <comment ref="Y77" authorId="0" shapeId="0">
      <text>
        <r>
          <rPr>
            <b/>
            <sz val="8"/>
            <color indexed="81"/>
            <rFont val="Tahoma"/>
            <family val="2"/>
          </rPr>
          <t>Author:</t>
        </r>
        <r>
          <rPr>
            <sz val="8"/>
            <color indexed="81"/>
            <rFont val="Tahoma"/>
            <family val="2"/>
          </rPr>
          <t xml:space="preserve">
443$000 levied  by judges and jury, others for posturas infractions.</t>
        </r>
      </text>
    </comment>
    <comment ref="Z77" authorId="0" shapeId="0">
      <text>
        <r>
          <rPr>
            <b/>
            <sz val="8"/>
            <color indexed="81"/>
            <rFont val="Tahoma"/>
            <family val="2"/>
          </rPr>
          <t>Author:</t>
        </r>
        <r>
          <rPr>
            <sz val="8"/>
            <color indexed="81"/>
            <rFont val="Tahoma"/>
            <family val="2"/>
          </rPr>
          <t xml:space="preserve">
637$000 in multas, 464$000 imposed by judges, 520$000 fines in arrears collected in this fiscal yr.</t>
        </r>
      </text>
    </comment>
    <comment ref="AC77" authorId="0" shapeId="0">
      <text>
        <r>
          <rPr>
            <b/>
            <sz val="8"/>
            <color indexed="81"/>
            <rFont val="Tahoma"/>
            <family val="2"/>
          </rPr>
          <t>Author:</t>
        </r>
        <r>
          <rPr>
            <sz val="8"/>
            <color indexed="81"/>
            <rFont val="Tahoma"/>
            <family val="2"/>
          </rPr>
          <t xml:space="preserve">
"Fines imposed by judges"</t>
        </r>
      </text>
    </comment>
    <comment ref="AR80" authorId="0" shapeId="0">
      <text>
        <r>
          <rPr>
            <b/>
            <sz val="8"/>
            <color indexed="81"/>
            <rFont val="Tahoma"/>
            <family val="2"/>
          </rPr>
          <t>Author:</t>
        </r>
        <r>
          <rPr>
            <sz val="8"/>
            <color indexed="81"/>
            <rFont val="Tahoma"/>
            <family val="2"/>
          </rPr>
          <t xml:space="preserve">
imposto sobre enterramentos de applicacao especial</t>
        </r>
      </text>
    </comment>
    <comment ref="AS80" authorId="0" shapeId="0">
      <text>
        <r>
          <rPr>
            <b/>
            <sz val="8"/>
            <color indexed="81"/>
            <rFont val="Tahoma"/>
            <family val="2"/>
          </rPr>
          <t>Author:</t>
        </r>
        <r>
          <rPr>
            <sz val="8"/>
            <color indexed="81"/>
            <rFont val="Tahoma"/>
            <family val="2"/>
          </rPr>
          <t xml:space="preserve">
imposto sobre enterramentos de applicacao especial</t>
        </r>
      </text>
    </comment>
    <comment ref="AY81" authorId="0" shapeId="0">
      <text>
        <r>
          <rPr>
            <b/>
            <sz val="8"/>
            <color indexed="81"/>
            <rFont val="Tahoma"/>
            <family val="2"/>
          </rPr>
          <t>Author:</t>
        </r>
        <r>
          <rPr>
            <sz val="8"/>
            <color indexed="81"/>
            <rFont val="Tahoma"/>
            <family val="2"/>
          </rPr>
          <t xml:space="preserve">
from "mercadinho" and "mercando grande"</t>
        </r>
      </text>
    </comment>
    <comment ref="AZ81" authorId="0" shapeId="0">
      <text>
        <r>
          <rPr>
            <b/>
            <sz val="8"/>
            <color indexed="81"/>
            <rFont val="Tahoma"/>
            <family val="2"/>
          </rPr>
          <t>Author:</t>
        </r>
        <r>
          <rPr>
            <sz val="8"/>
            <color indexed="81"/>
            <rFont val="Tahoma"/>
            <family val="2"/>
          </rPr>
          <t xml:space="preserve">
from "mercadinho" and "mercando grande"</t>
        </r>
      </text>
    </comment>
    <comment ref="BA81" authorId="0" shapeId="0">
      <text>
        <r>
          <rPr>
            <b/>
            <sz val="8"/>
            <color indexed="81"/>
            <rFont val="Tahoma"/>
            <family val="2"/>
          </rPr>
          <t>Author:</t>
        </r>
        <r>
          <rPr>
            <sz val="8"/>
            <color indexed="81"/>
            <rFont val="Tahoma"/>
            <family val="2"/>
          </rPr>
          <t xml:space="preserve">
from "mercadinho" and "mercando grande"</t>
        </r>
      </text>
    </comment>
    <comment ref="AG82" authorId="0" shapeId="0">
      <text>
        <r>
          <rPr>
            <b/>
            <sz val="8"/>
            <color indexed="81"/>
            <rFont val="Tahoma"/>
            <family val="2"/>
          </rPr>
          <t>Author:</t>
        </r>
        <r>
          <rPr>
            <sz val="8"/>
            <color indexed="81"/>
            <rFont val="Tahoma"/>
            <family val="2"/>
          </rPr>
          <t xml:space="preserve">
reimbolso do dinheiro adiantado aos bexiguentos indigentes per resolution of the camara of 14 dez 1863, plus reimbolso do dinheiro adiantado para a Cadea.</t>
        </r>
      </text>
    </comment>
    <comment ref="AI82" authorId="0" shapeId="0">
      <text>
        <r>
          <rPr>
            <b/>
            <sz val="8"/>
            <color indexed="81"/>
            <rFont val="Tahoma"/>
            <family val="2"/>
          </rPr>
          <t>Author:</t>
        </r>
        <r>
          <rPr>
            <sz val="8"/>
            <color indexed="81"/>
            <rFont val="Tahoma"/>
            <family val="2"/>
          </rPr>
          <t xml:space="preserve">
Restituicao feita pelos proprieatarios da rua do Rosario do calcamento de ruas qutadas[???], que a Camara fez de accordo com o calcamento do centro da rua para perfeicao da obra (Resolucao da Camara de 7 de Abril de 1866); reimbolso feito a Camara pelo Governo Provincial do que a Camara dispendeo no caminho de Itu' em concerto do mesmo por ordem do mesmo governo. (Ordem do Exmo Governo de 4 de Dezembro de 1865.</t>
        </r>
      </text>
    </comment>
    <comment ref="AL86" authorId="0" shapeId="0">
      <text>
        <r>
          <rPr>
            <b/>
            <sz val="9"/>
            <color indexed="81"/>
            <rFont val="Tahoma"/>
            <family val="2"/>
          </rPr>
          <t>Author:</t>
        </r>
        <r>
          <rPr>
            <sz val="9"/>
            <color indexed="81"/>
            <rFont val="Tahoma"/>
            <family val="2"/>
          </rPr>
          <t xml:space="preserve">
</t>
        </r>
        <r>
          <rPr>
            <sz val="8"/>
            <color indexed="81"/>
            <rFont val="Tahoma"/>
            <family val="2"/>
          </rPr>
          <t>This is "materiais vendidos de obras illeg demolidas" minus the error factor between the mathematical total and their recorded total.  I couldn't find the error, but it was just a fraction of total spending.</t>
        </r>
      </text>
    </comment>
    <comment ref="AL96" authorId="0" shapeId="0">
      <text>
        <r>
          <rPr>
            <b/>
            <sz val="9"/>
            <color indexed="81"/>
            <rFont val="Tahoma"/>
            <family val="2"/>
          </rPr>
          <t>Author:</t>
        </r>
        <r>
          <rPr>
            <sz val="9"/>
            <color indexed="81"/>
            <rFont val="Tahoma"/>
            <family val="2"/>
          </rPr>
          <t xml:space="preserve">
</t>
        </r>
        <r>
          <rPr>
            <sz val="8"/>
            <color indexed="81"/>
            <rFont val="Tahoma"/>
            <family val="2"/>
          </rPr>
          <t>The printed total is 34915$652, which is 54$003 over</t>
        </r>
      </text>
    </comment>
    <comment ref="B105" authorId="0" shapeId="0">
      <text>
        <r>
          <rPr>
            <b/>
            <sz val="8"/>
            <color indexed="81"/>
            <rFont val="Tahoma"/>
            <family val="2"/>
          </rPr>
          <t>Author:</t>
        </r>
        <r>
          <rPr>
            <sz val="8"/>
            <color indexed="81"/>
            <rFont val="Tahoma"/>
            <family val="2"/>
          </rPr>
          <t xml:space="preserve">
1 October to 30 September</t>
        </r>
      </text>
    </comment>
    <comment ref="E105" authorId="0" shapeId="0">
      <text>
        <r>
          <rPr>
            <b/>
            <sz val="8"/>
            <color indexed="81"/>
            <rFont val="Tahoma"/>
            <family val="2"/>
          </rPr>
          <t>Author:</t>
        </r>
        <r>
          <rPr>
            <sz val="8"/>
            <color indexed="81"/>
            <rFont val="Tahoma"/>
            <family val="2"/>
          </rPr>
          <t xml:space="preserve">
1 October to 30 September</t>
        </r>
      </text>
    </comment>
    <comment ref="F105" authorId="0" shapeId="0">
      <text>
        <r>
          <rPr>
            <b/>
            <sz val="8"/>
            <color indexed="81"/>
            <rFont val="Tahoma"/>
            <family val="2"/>
          </rPr>
          <t>Author:</t>
        </r>
        <r>
          <rPr>
            <sz val="8"/>
            <color indexed="81"/>
            <rFont val="Tahoma"/>
            <family val="2"/>
          </rPr>
          <t xml:space="preserve">
1 October to 30 September</t>
        </r>
      </text>
    </comment>
    <comment ref="G105" authorId="0" shapeId="0">
      <text>
        <r>
          <rPr>
            <b/>
            <sz val="8"/>
            <color indexed="81"/>
            <rFont val="Tahoma"/>
            <family val="2"/>
          </rPr>
          <t>Author:</t>
        </r>
        <r>
          <rPr>
            <sz val="8"/>
            <color indexed="81"/>
            <rFont val="Tahoma"/>
            <family val="2"/>
          </rPr>
          <t xml:space="preserve">
1 October to 30 September</t>
        </r>
      </text>
    </comment>
    <comment ref="H105" authorId="0" shapeId="0">
      <text>
        <r>
          <rPr>
            <b/>
            <sz val="8"/>
            <color indexed="81"/>
            <rFont val="Tahoma"/>
            <family val="2"/>
          </rPr>
          <t>Author:</t>
        </r>
        <r>
          <rPr>
            <sz val="8"/>
            <color indexed="81"/>
            <rFont val="Tahoma"/>
            <family val="2"/>
          </rPr>
          <t xml:space="preserve">
1 October to 30 September</t>
        </r>
      </text>
    </comment>
    <comment ref="I105" authorId="0" shapeId="0">
      <text>
        <r>
          <rPr>
            <b/>
            <sz val="8"/>
            <color indexed="81"/>
            <rFont val="Tahoma"/>
            <family val="2"/>
          </rPr>
          <t>Author:</t>
        </r>
        <r>
          <rPr>
            <sz val="8"/>
            <color indexed="81"/>
            <rFont val="Tahoma"/>
            <family val="2"/>
          </rPr>
          <t xml:space="preserve">
1 October to 30 September</t>
        </r>
      </text>
    </comment>
    <comment ref="K105" authorId="0" shapeId="0">
      <text>
        <r>
          <rPr>
            <b/>
            <sz val="8"/>
            <color indexed="81"/>
            <rFont val="Tahoma"/>
            <family val="2"/>
          </rPr>
          <t>Author:</t>
        </r>
        <r>
          <rPr>
            <sz val="8"/>
            <color indexed="81"/>
            <rFont val="Tahoma"/>
            <family val="2"/>
          </rPr>
          <t xml:space="preserve">
1 October to 30 September</t>
        </r>
      </text>
    </comment>
    <comment ref="M105" authorId="0" shapeId="0">
      <text>
        <r>
          <rPr>
            <b/>
            <sz val="8"/>
            <color indexed="81"/>
            <rFont val="Tahoma"/>
            <family val="2"/>
          </rPr>
          <t>Author:</t>
        </r>
        <r>
          <rPr>
            <sz val="8"/>
            <color indexed="81"/>
            <rFont val="Tahoma"/>
            <family val="2"/>
          </rPr>
          <t xml:space="preserve">
1 October to 30 September</t>
        </r>
      </text>
    </comment>
    <comment ref="J107" authorId="0" shapeId="0">
      <text>
        <r>
          <rPr>
            <b/>
            <sz val="8"/>
            <color indexed="81"/>
            <rFont val="Tahoma"/>
            <family val="2"/>
          </rPr>
          <t>Author:</t>
        </r>
        <r>
          <rPr>
            <sz val="8"/>
            <color indexed="81"/>
            <rFont val="Tahoma"/>
            <family val="2"/>
          </rPr>
          <t xml:space="preserve">
some of the Despeza pages are missing, but the total is available.</t>
        </r>
      </text>
    </comment>
    <comment ref="U138" authorId="0" shapeId="0">
      <text>
        <r>
          <rPr>
            <b/>
            <sz val="8"/>
            <color indexed="81"/>
            <rFont val="Tahoma"/>
            <family val="2"/>
          </rPr>
          <t>Author:</t>
        </r>
        <r>
          <rPr>
            <sz val="8"/>
            <color indexed="81"/>
            <rFont val="Tahoma"/>
            <family val="2"/>
          </rPr>
          <t xml:space="preserve">
6%</t>
        </r>
      </text>
    </comment>
    <comment ref="AJ138" authorId="0" shapeId="0">
      <text>
        <r>
          <rPr>
            <b/>
            <sz val="8"/>
            <color indexed="81"/>
            <rFont val="Tahoma"/>
            <family val="2"/>
          </rPr>
          <t>Author:</t>
        </r>
        <r>
          <rPr>
            <sz val="8"/>
            <color indexed="81"/>
            <rFont val="Tahoma"/>
            <family val="2"/>
          </rPr>
          <t xml:space="preserve">
this amount is on the quantity of 19194$110, which turns out to be 6%</t>
        </r>
      </text>
    </comment>
    <comment ref="AV145" authorId="0" shapeId="0">
      <text>
        <r>
          <rPr>
            <b/>
            <sz val="8"/>
            <color indexed="81"/>
            <rFont val="Tahoma"/>
            <family val="2"/>
          </rPr>
          <t>Author:</t>
        </r>
        <r>
          <rPr>
            <sz val="8"/>
            <color indexed="81"/>
            <rFont val="Tahoma"/>
            <family val="2"/>
          </rPr>
          <t xml:space="preserve">
contract for extinction of ant hills</t>
        </r>
      </text>
    </comment>
    <comment ref="AR146" authorId="0" shapeId="0">
      <text>
        <r>
          <rPr>
            <b/>
            <sz val="8"/>
            <color indexed="81"/>
            <rFont val="Tahoma"/>
            <family val="2"/>
          </rPr>
          <t>Author:</t>
        </r>
        <r>
          <rPr>
            <sz val="8"/>
            <color indexed="81"/>
            <rFont val="Tahoma"/>
            <family val="2"/>
          </rPr>
          <t xml:space="preserve">
eight months</t>
        </r>
      </text>
    </comment>
    <comment ref="BA146" authorId="0" shapeId="0">
      <text>
        <r>
          <rPr>
            <b/>
            <sz val="8"/>
            <color indexed="81"/>
            <rFont val="Tahoma"/>
            <family val="2"/>
          </rPr>
          <t>Author:</t>
        </r>
        <r>
          <rPr>
            <sz val="8"/>
            <color indexed="81"/>
            <rFont val="Tahoma"/>
            <family val="2"/>
          </rPr>
          <t xml:space="preserve">
Cia. De Gaz</t>
        </r>
      </text>
    </comment>
    <comment ref="B148" authorId="0" shapeId="0">
      <text>
        <r>
          <rPr>
            <b/>
            <sz val="8"/>
            <color indexed="81"/>
            <rFont val="Tahoma"/>
            <family val="2"/>
          </rPr>
          <t>Author:</t>
        </r>
        <r>
          <rPr>
            <sz val="8"/>
            <color indexed="81"/>
            <rFont val="Tahoma"/>
            <family val="2"/>
          </rPr>
          <t xml:space="preserve">
repair to muni corral, street repairs, big sidewalk expense</t>
        </r>
      </text>
    </comment>
    <comment ref="G148" authorId="0" shapeId="0">
      <text>
        <r>
          <rPr>
            <b/>
            <sz val="8"/>
            <color indexed="81"/>
            <rFont val="Tahoma"/>
            <family val="2"/>
          </rPr>
          <t>Author:</t>
        </r>
        <r>
          <rPr>
            <sz val="8"/>
            <color indexed="81"/>
            <rFont val="Tahoma"/>
            <family val="2"/>
          </rPr>
          <t xml:space="preserve">
misc small items of repairs, supplies.</t>
        </r>
      </text>
    </comment>
    <comment ref="H148" authorId="0" shapeId="0">
      <text>
        <r>
          <rPr>
            <b/>
            <sz val="8"/>
            <color indexed="81"/>
            <rFont val="Tahoma"/>
            <family val="2"/>
          </rPr>
          <t>Author:</t>
        </r>
        <r>
          <rPr>
            <sz val="8"/>
            <color indexed="81"/>
            <rFont val="Tahoma"/>
            <family val="2"/>
          </rPr>
          <t xml:space="preserve">
sidewalks, bridges, street repairs; repair to gate of corral at matadouro; casinhas de mantimentos; guard house; painting and doors; 
</t>
        </r>
      </text>
    </comment>
    <comment ref="I148" authorId="0" shapeId="0">
      <text>
        <r>
          <rPr>
            <b/>
            <sz val="8"/>
            <color indexed="81"/>
            <rFont val="Tahoma"/>
            <family val="2"/>
          </rPr>
          <t>Author:</t>
        </r>
        <r>
          <rPr>
            <sz val="8"/>
            <color indexed="81"/>
            <rFont val="Tahoma"/>
            <family val="2"/>
          </rPr>
          <t xml:space="preserve">
chafariz repairs; sidewalks and bridges and streets repair and labor; road repair; building repair materials and some equipment.</t>
        </r>
      </text>
    </comment>
    <comment ref="K148" authorId="0" shapeId="0">
      <text>
        <r>
          <rPr>
            <b/>
            <sz val="8"/>
            <color indexed="81"/>
            <rFont val="Tahoma"/>
            <family val="2"/>
          </rPr>
          <t>Author:</t>
        </r>
        <r>
          <rPr>
            <sz val="8"/>
            <color indexed="81"/>
            <rFont val="Tahoma"/>
            <family val="2"/>
          </rPr>
          <t xml:space="preserve">
sidewalk, street, and road repair; jail repair; lanterns</t>
        </r>
      </text>
    </comment>
    <comment ref="R148" authorId="0" shapeId="0">
      <text>
        <r>
          <rPr>
            <b/>
            <sz val="8"/>
            <color indexed="81"/>
            <rFont val="Tahoma"/>
            <family val="2"/>
          </rPr>
          <t>Author:</t>
        </r>
        <r>
          <rPr>
            <sz val="8"/>
            <color indexed="81"/>
            <rFont val="Tahoma"/>
            <family val="2"/>
          </rPr>
          <t xml:space="preserve">
Jail repairs; matadouro repairs; sidewalks; street repairs; repairs to casinhas; repairs of fountains; street and fountains; sidewalk; bridge repair</t>
        </r>
      </text>
    </comment>
    <comment ref="T148" authorId="0" shapeId="0">
      <text>
        <r>
          <rPr>
            <b/>
            <sz val="8"/>
            <color indexed="81"/>
            <rFont val="Tahoma"/>
            <family val="2"/>
          </rPr>
          <t>Author:</t>
        </r>
        <r>
          <rPr>
            <sz val="8"/>
            <color indexed="81"/>
            <rFont val="Tahoma"/>
            <family val="2"/>
          </rPr>
          <t xml:space="preserve">
repairs to jail;repairs to matadouro; street and sidewalk repairs;chafariz repairs; bridge repair; another bridge repair; house numbering; repairs to casinhas de mantimentos.</t>
        </r>
      </text>
    </comment>
    <comment ref="U148" authorId="0" shapeId="0">
      <text>
        <r>
          <rPr>
            <b/>
            <sz val="8"/>
            <color indexed="81"/>
            <rFont val="Tahoma"/>
            <family val="2"/>
          </rPr>
          <t>Author:</t>
        </r>
        <r>
          <rPr>
            <sz val="8"/>
            <color indexed="81"/>
            <rFont val="Tahoma"/>
            <family val="2"/>
          </rPr>
          <t xml:space="preserve">
Bridge repair; repairs to casinhas; repair to corral of Matadouro; repairs to sidewalks, streets, and fountains.</t>
        </r>
      </text>
    </comment>
    <comment ref="V148" authorId="0" shapeId="0">
      <text>
        <r>
          <rPr>
            <b/>
            <sz val="8"/>
            <color indexed="81"/>
            <rFont val="Tahoma"/>
            <family val="2"/>
          </rPr>
          <t>Author:</t>
        </r>
        <r>
          <rPr>
            <sz val="8"/>
            <color indexed="81"/>
            <rFont val="Tahoma"/>
            <family val="2"/>
          </rPr>
          <t xml:space="preserve">
filling some holes in streets and sidewalks; repairs of jailhouse; repairs to the corral at the slaughterhouse; repairs to the casinhas e acougues</t>
        </r>
      </text>
    </comment>
    <comment ref="X148" authorId="0" shapeId="0">
      <text>
        <r>
          <rPr>
            <b/>
            <sz val="8"/>
            <color indexed="81"/>
            <rFont val="Tahoma"/>
            <family val="2"/>
          </rPr>
          <t>Author:</t>
        </r>
        <r>
          <rPr>
            <sz val="8"/>
            <color indexed="81"/>
            <rFont val="Tahoma"/>
            <family val="2"/>
          </rPr>
          <t xml:space="preserve">
repairs to sidewalks, street repairs; repairs to Matadouro and casinhas; repairs at the jail; repairs to a public fountain (chafariz)
</t>
        </r>
      </text>
    </comment>
    <comment ref="Y148" authorId="0" shapeId="0">
      <text>
        <r>
          <rPr>
            <b/>
            <sz val="9"/>
            <color indexed="81"/>
            <rFont val="Tahoma"/>
            <family val="2"/>
          </rPr>
          <t>Author:</t>
        </r>
        <r>
          <rPr>
            <sz val="9"/>
            <color indexed="81"/>
            <rFont val="Tahoma"/>
            <family val="2"/>
          </rPr>
          <t xml:space="preserve">
12$920 is to repair a chafariz.  The remaining is a lump sum that includes sidewalk construction and repair, bridge repair,  redirrection of rainwaters</t>
        </r>
      </text>
    </comment>
    <comment ref="Z148" authorId="0" shapeId="0">
      <text>
        <r>
          <rPr>
            <b/>
            <sz val="9"/>
            <color indexed="81"/>
            <rFont val="Tahoma"/>
            <family val="2"/>
          </rPr>
          <t>Author:</t>
        </r>
        <r>
          <rPr>
            <sz val="9"/>
            <color indexed="81"/>
            <rFont val="Tahoma"/>
            <family val="2"/>
          </rPr>
          <t xml:space="preserve">
sidewalks, cleaning and repair of streets, landfills, "percintas" conservation of small bridges, diversion of rainwater</t>
        </r>
      </text>
    </comment>
    <comment ref="AC148" authorId="0" shapeId="0">
      <text>
        <r>
          <rPr>
            <b/>
            <sz val="9"/>
            <color indexed="81"/>
            <rFont val="Tahoma"/>
            <family val="2"/>
          </rPr>
          <t>Author:</t>
        </r>
        <r>
          <rPr>
            <sz val="9"/>
            <color indexed="81"/>
            <rFont val="Tahoma"/>
            <family val="2"/>
          </rPr>
          <t xml:space="preserve">
</t>
        </r>
        <r>
          <rPr>
            <sz val="8"/>
            <color indexed="81"/>
            <rFont val="Tahoma"/>
            <family val="2"/>
          </rPr>
          <t>3326$000 for street pavement, paid to Francisco de Camargo for ruas Imperador, Alecrim, and de Baixo, and 715$000 to Victorino Pindo Hermes for sidewalk on rua de Baixo; 2147$000 spent on repairs to streets and chafarizes, landfills, redirection of rainwater, bridges, pipes, weeding</t>
        </r>
      </text>
    </comment>
    <comment ref="AD148" authorId="0" shapeId="0">
      <text>
        <r>
          <rPr>
            <b/>
            <sz val="9"/>
            <color indexed="81"/>
            <rFont val="Tahoma"/>
            <family val="2"/>
          </rPr>
          <t>Author:</t>
        </r>
        <r>
          <rPr>
            <sz val="9"/>
            <color indexed="81"/>
            <rFont val="Tahoma"/>
            <family val="2"/>
          </rPr>
          <t xml:space="preserve">
completed and in construction (so probably includes market and matadouro)</t>
        </r>
      </text>
    </comment>
    <comment ref="AE148" authorId="0" shapeId="0">
      <text>
        <r>
          <rPr>
            <b/>
            <sz val="8"/>
            <color indexed="81"/>
            <rFont val="Tahoma"/>
            <family val="2"/>
          </rPr>
          <t>Author:</t>
        </r>
        <r>
          <rPr>
            <sz val="8"/>
            <color indexed="81"/>
            <rFont val="Tahoma"/>
            <family val="2"/>
          </rPr>
          <t xml:space="preserve">
1994$000 paid to Antonio …Peixoto and Camilo… for administration of  to the Jail clock and repairs to the jail; 1,000$000 to Joaquim Pereira e  Nogucida de Almeiida, installment for contruction of the leper's asylum; 200$000 for personnel for the adminsitration of municipal public works; 4,400$000 for construction and paving "calcada" of Rua Direita; 5254$000 for various public works including construciton of a new chafariz, repairs to Matadouro.</t>
        </r>
      </text>
    </comment>
    <comment ref="AG148" authorId="0" shapeId="0">
      <text>
        <r>
          <rPr>
            <b/>
            <sz val="8"/>
            <color indexed="81"/>
            <rFont val="Tahoma"/>
            <family val="2"/>
          </rPr>
          <t>Author:</t>
        </r>
        <r>
          <rPr>
            <sz val="8"/>
            <color indexed="81"/>
            <rFont val="Tahoma"/>
            <family val="2"/>
          </rPr>
          <t xml:space="preserve">
details avail on bal sheet; similar categories as in other years.  </t>
        </r>
      </text>
    </comment>
    <comment ref="AH148" authorId="0" shapeId="0">
      <text>
        <r>
          <rPr>
            <b/>
            <sz val="8"/>
            <color indexed="81"/>
            <rFont val="Tahoma"/>
            <family val="2"/>
          </rPr>
          <t>Author:</t>
        </r>
        <r>
          <rPr>
            <sz val="8"/>
            <color indexed="81"/>
            <rFont val="Tahoma"/>
            <family val="2"/>
          </rPr>
          <t xml:space="preserve">
sidewalks and street paving, road repairs, chafariz e tanque, water abatement, expropriation of a house for the public servidao, </t>
        </r>
      </text>
    </comment>
    <comment ref="AI148" authorId="0" shapeId="0">
      <text>
        <r>
          <rPr>
            <b/>
            <sz val="8"/>
            <color indexed="81"/>
            <rFont val="Tahoma"/>
            <family val="2"/>
          </rPr>
          <t>Author:</t>
        </r>
        <r>
          <rPr>
            <sz val="8"/>
            <color indexed="81"/>
            <rFont val="Tahoma"/>
            <family val="2"/>
          </rPr>
          <t xml:space="preserve">
street paving, tanque and chafariz, canal, paving stones, bridge repairs, street repairs, matadouro repairs and upkeep.  Note:  It is not possible to break out the portion devoted to matadouro repairs and upkeep.</t>
        </r>
      </text>
    </comment>
    <comment ref="AJ148" authorId="0" shapeId="0">
      <text>
        <r>
          <rPr>
            <b/>
            <sz val="8"/>
            <color indexed="81"/>
            <rFont val="Tahoma"/>
            <family val="2"/>
          </rPr>
          <t>Author:</t>
        </r>
        <r>
          <rPr>
            <sz val="8"/>
            <color indexed="81"/>
            <rFont val="Tahoma"/>
            <family val="2"/>
          </rPr>
          <t xml:space="preserve">
money for: construction of a chafariz; disappropriation of small houses; roads and bridge construction; road paving; sidewalks; road repair; building repairs.</t>
        </r>
      </text>
    </comment>
    <comment ref="AK148" authorId="0" shapeId="0">
      <text>
        <r>
          <rPr>
            <b/>
            <sz val="8"/>
            <color indexed="81"/>
            <rFont val="Tahoma"/>
            <family val="2"/>
          </rPr>
          <t>Author:</t>
        </r>
        <r>
          <rPr>
            <sz val="8"/>
            <color indexed="81"/>
            <rFont val="Tahoma"/>
            <family val="2"/>
          </rPr>
          <t xml:space="preserve">
six line items: paid to the citizen Francicso de Camargo Penteado for the MacAdam paving on Rua Direita; to Engineer Contatino  for overseeing public works in the year; and transport of materials from Santos to Campinas to pipe water to the fountains; two separate entries paid to citizen Joaquim Texeira Nogueira for various street paving projects; construction for a new street and sewers on same street; and finally, subterranean plans  fpr a street. a bridge made of bricks, and paving of another street.</t>
        </r>
      </text>
    </comment>
    <comment ref="AL148" authorId="0" shapeId="0">
      <text>
        <r>
          <rPr>
            <b/>
            <sz val="9"/>
            <color indexed="81"/>
            <rFont val="Tahoma"/>
            <family val="2"/>
          </rPr>
          <t>Author:</t>
        </r>
        <r>
          <rPr>
            <sz val="9"/>
            <color indexed="81"/>
            <rFont val="Tahoma"/>
            <family val="2"/>
          </rPr>
          <t xml:space="preserve">
</t>
        </r>
        <r>
          <rPr>
            <sz val="8"/>
            <color indexed="81"/>
            <rFont val="Tahoma"/>
            <family val="2"/>
          </rPr>
          <t xml:space="preserve">lots of accounts, in order:  spent on abertura de um vasgao de illeg de 400 bracas para deseccacao de brejo ill e utensilios para o trabalho; idem com a conclusao de calcamento da rua Illeg name; Idem com a conclusao de torre (?) e mais obras para collocacao de regulador publico, custo e conducao illeg; idem com a conclusao dos servicos da illeg do brejo da nascente; idem com picarretas e pas compradas para servicos da camara; pagamento ao cidadao Joaquim Fereiirra Nogueira de Almaida para contas do contrato de calcamento da rua das Casinhas; dispendido com pessoal technico para direcao das obras da Camara em maio neste anno; pagamento ao cidadao joaquim Fereiirra Nogueira d'... pelos provisoes de pedra e esgotos da moradas casinhas, um chafariz e outros servicos
</t>
        </r>
      </text>
    </comment>
    <comment ref="BA171" authorId="0" shapeId="0">
      <text>
        <r>
          <rPr>
            <b/>
            <sz val="8"/>
            <color indexed="81"/>
            <rFont val="Tahoma"/>
            <family val="2"/>
          </rPr>
          <t>Author:</t>
        </r>
        <r>
          <rPr>
            <sz val="8"/>
            <color indexed="81"/>
            <rFont val="Tahoma"/>
            <family val="2"/>
          </rPr>
          <t xml:space="preserve">
gas</t>
        </r>
      </text>
    </comment>
    <comment ref="A174" authorId="0" shapeId="0">
      <text>
        <r>
          <rPr>
            <b/>
            <sz val="9"/>
            <color indexed="81"/>
            <rFont val="Tahoma"/>
            <family val="2"/>
          </rPr>
          <t>Author:</t>
        </r>
        <r>
          <rPr>
            <sz val="9"/>
            <color indexed="81"/>
            <rFont val="Tahoma"/>
            <family val="2"/>
          </rPr>
          <t xml:space="preserve">
The municipality is obliged to pay half costs of proceedings of poor defendants when they are acquitted.  The state was obligated to pay half costs of the proceedings of poor defendants when they were found guilty.</t>
        </r>
      </text>
    </comment>
    <comment ref="AL190" authorId="0" shapeId="0">
      <text>
        <r>
          <rPr>
            <b/>
            <sz val="9"/>
            <color indexed="81"/>
            <rFont val="Tahoma"/>
            <family val="2"/>
          </rPr>
          <t>Author:</t>
        </r>
        <r>
          <rPr>
            <sz val="9"/>
            <color indexed="81"/>
            <rFont val="Tahoma"/>
            <family val="2"/>
          </rPr>
          <t xml:space="preserve">
inclusive a compra de um armario illeg nova or mora</t>
        </r>
      </text>
    </comment>
    <comment ref="BC197" authorId="0" shapeId="0">
      <text>
        <r>
          <rPr>
            <b/>
            <sz val="8"/>
            <color indexed="81"/>
            <rFont val="Tahoma"/>
            <family val="2"/>
          </rPr>
          <t>Author:</t>
        </r>
        <r>
          <rPr>
            <sz val="8"/>
            <color indexed="81"/>
            <rFont val="Tahoma"/>
            <family val="2"/>
          </rPr>
          <t xml:space="preserve">
seven schools</t>
        </r>
      </text>
    </comment>
    <comment ref="BD197" authorId="0" shapeId="0">
      <text>
        <r>
          <rPr>
            <b/>
            <sz val="8"/>
            <color indexed="81"/>
            <rFont val="Tahoma"/>
            <family val="2"/>
          </rPr>
          <t>Author:</t>
        </r>
        <r>
          <rPr>
            <sz val="8"/>
            <color indexed="81"/>
            <rFont val="Tahoma"/>
            <family val="2"/>
          </rPr>
          <t xml:space="preserve">
seven schools</t>
        </r>
      </text>
    </comment>
    <comment ref="R209" authorId="0" shapeId="0">
      <text>
        <r>
          <rPr>
            <b/>
            <sz val="8"/>
            <color indexed="81"/>
            <rFont val="Tahoma"/>
            <family val="2"/>
          </rPr>
          <t>Author:</t>
        </r>
        <r>
          <rPr>
            <sz val="8"/>
            <color indexed="81"/>
            <rFont val="Tahoma"/>
            <family val="2"/>
          </rPr>
          <t xml:space="preserve">
Per Art 19 of the Provincial Law of 7 March 1851, rest illeg.  Apparently a transfer of the product of this tax from muni to province.</t>
        </r>
      </text>
    </comment>
  </commentList>
</comments>
</file>

<file path=xl/comments4.xml><?xml version="1.0" encoding="utf-8"?>
<comments xmlns="http://schemas.openxmlformats.org/spreadsheetml/2006/main">
  <authors>
    <author>Author</author>
  </authors>
  <commentList>
    <comment ref="B4" authorId="0" shapeId="0">
      <text>
        <r>
          <rPr>
            <b/>
            <sz val="8"/>
            <color indexed="81"/>
            <rFont val="Tahoma"/>
            <family val="2"/>
          </rPr>
          <t>Author:</t>
        </r>
        <r>
          <rPr>
            <sz val="8"/>
            <color indexed="81"/>
            <rFont val="Tahoma"/>
            <family val="2"/>
          </rPr>
          <t xml:space="preserve">
1 October to 30 September</t>
        </r>
      </text>
    </comment>
    <comment ref="C4" authorId="0" shapeId="0">
      <text>
        <r>
          <rPr>
            <b/>
            <sz val="8"/>
            <color indexed="81"/>
            <rFont val="Tahoma"/>
            <family val="2"/>
          </rPr>
          <t>Author:</t>
        </r>
        <r>
          <rPr>
            <sz val="8"/>
            <color indexed="81"/>
            <rFont val="Tahoma"/>
            <family val="2"/>
          </rPr>
          <t xml:space="preserve">
1 October to 30 September</t>
        </r>
      </text>
    </comment>
    <comment ref="D4" authorId="0" shapeId="0">
      <text>
        <r>
          <rPr>
            <b/>
            <sz val="8"/>
            <color indexed="81"/>
            <rFont val="Tahoma"/>
            <family val="2"/>
          </rPr>
          <t>Author:</t>
        </r>
        <r>
          <rPr>
            <sz val="8"/>
            <color indexed="81"/>
            <rFont val="Tahoma"/>
            <family val="2"/>
          </rPr>
          <t xml:space="preserve">
1 October to 30 September</t>
        </r>
      </text>
    </comment>
    <comment ref="E4" authorId="0" shapeId="0">
      <text>
        <r>
          <rPr>
            <b/>
            <sz val="8"/>
            <color indexed="81"/>
            <rFont val="Tahoma"/>
            <family val="2"/>
          </rPr>
          <t>Author:</t>
        </r>
        <r>
          <rPr>
            <sz val="8"/>
            <color indexed="81"/>
            <rFont val="Tahoma"/>
            <family val="2"/>
          </rPr>
          <t xml:space="preserve">
1 October to 30 September</t>
        </r>
      </text>
    </comment>
    <comment ref="F4" authorId="0" shapeId="0">
      <text>
        <r>
          <rPr>
            <b/>
            <sz val="8"/>
            <color indexed="81"/>
            <rFont val="Tahoma"/>
            <family val="2"/>
          </rPr>
          <t>Author:</t>
        </r>
        <r>
          <rPr>
            <sz val="8"/>
            <color indexed="81"/>
            <rFont val="Tahoma"/>
            <family val="2"/>
          </rPr>
          <t xml:space="preserve">
1 October to 30 September</t>
        </r>
      </text>
    </comment>
    <comment ref="G4" authorId="0" shapeId="0">
      <text>
        <r>
          <rPr>
            <b/>
            <sz val="8"/>
            <color indexed="81"/>
            <rFont val="Tahoma"/>
            <family val="2"/>
          </rPr>
          <t>Author:</t>
        </r>
        <r>
          <rPr>
            <sz val="8"/>
            <color indexed="81"/>
            <rFont val="Tahoma"/>
            <family val="2"/>
          </rPr>
          <t xml:space="preserve">
1 October to 30 September</t>
        </r>
      </text>
    </comment>
    <comment ref="H4" authorId="0" shapeId="0">
      <text>
        <r>
          <rPr>
            <b/>
            <sz val="8"/>
            <color indexed="81"/>
            <rFont val="Tahoma"/>
            <family val="2"/>
          </rPr>
          <t>Author:</t>
        </r>
        <r>
          <rPr>
            <sz val="8"/>
            <color indexed="81"/>
            <rFont val="Tahoma"/>
            <family val="2"/>
          </rPr>
          <t xml:space="preserve">
1 October to 30 September</t>
        </r>
      </text>
    </comment>
    <comment ref="I4" authorId="0" shapeId="0">
      <text>
        <r>
          <rPr>
            <b/>
            <sz val="8"/>
            <color indexed="81"/>
            <rFont val="Tahoma"/>
            <family val="2"/>
          </rPr>
          <t>Author:</t>
        </r>
        <r>
          <rPr>
            <sz val="8"/>
            <color indexed="81"/>
            <rFont val="Tahoma"/>
            <family val="2"/>
          </rPr>
          <t xml:space="preserve">
1 October to 30 September</t>
        </r>
      </text>
    </comment>
    <comment ref="J4" authorId="0" shapeId="0">
      <text>
        <r>
          <rPr>
            <b/>
            <sz val="8"/>
            <color indexed="81"/>
            <rFont val="Tahoma"/>
            <family val="2"/>
          </rPr>
          <t>Author:</t>
        </r>
        <r>
          <rPr>
            <sz val="8"/>
            <color indexed="81"/>
            <rFont val="Tahoma"/>
            <family val="2"/>
          </rPr>
          <t xml:space="preserve">
1 October to 30 September</t>
        </r>
      </text>
    </comment>
    <comment ref="K4" authorId="0" shapeId="0">
      <text>
        <r>
          <rPr>
            <b/>
            <sz val="8"/>
            <color indexed="81"/>
            <rFont val="Tahoma"/>
            <family val="2"/>
          </rPr>
          <t>Author:</t>
        </r>
        <r>
          <rPr>
            <sz val="8"/>
            <color indexed="81"/>
            <rFont val="Tahoma"/>
            <family val="2"/>
          </rPr>
          <t xml:space="preserve">
1 October to 30 September</t>
        </r>
      </text>
    </comment>
    <comment ref="P4" authorId="0" shapeId="0">
      <text>
        <r>
          <rPr>
            <b/>
            <sz val="8"/>
            <color indexed="81"/>
            <rFont val="Tahoma"/>
            <family val="2"/>
          </rPr>
          <t>Author:</t>
        </r>
        <r>
          <rPr>
            <sz val="8"/>
            <color indexed="81"/>
            <rFont val="Tahoma"/>
            <family val="2"/>
          </rPr>
          <t xml:space="preserve">
1 October to 30 September</t>
        </r>
      </text>
    </comment>
    <comment ref="AL9" authorId="0" shapeId="0">
      <text>
        <r>
          <rPr>
            <b/>
            <sz val="8"/>
            <color indexed="81"/>
            <rFont val="Tahoma"/>
            <family val="2"/>
          </rPr>
          <t>Author:</t>
        </r>
        <r>
          <rPr>
            <sz val="8"/>
            <color indexed="81"/>
            <rFont val="Tahoma"/>
            <family val="2"/>
          </rPr>
          <t xml:space="preserve">
Lei Provincial no. 70, art 6, de 22 Abril 1865</t>
        </r>
      </text>
    </comment>
    <comment ref="S14" authorId="0" shapeId="0">
      <text>
        <r>
          <rPr>
            <b/>
            <sz val="8"/>
            <color indexed="81"/>
            <rFont val="Tahoma"/>
            <family val="2"/>
          </rPr>
          <t>Author:</t>
        </r>
        <r>
          <rPr>
            <sz val="8"/>
            <color indexed="81"/>
            <rFont val="Tahoma"/>
            <family val="2"/>
          </rPr>
          <t xml:space="preserve">
8$000</t>
        </r>
      </text>
    </comment>
    <comment ref="AJ16" authorId="0" shapeId="0">
      <text>
        <r>
          <rPr>
            <b/>
            <sz val="8"/>
            <color indexed="81"/>
            <rFont val="Tahoma"/>
            <family val="2"/>
          </rPr>
          <t>Author:</t>
        </r>
        <r>
          <rPr>
            <sz val="8"/>
            <color indexed="81"/>
            <rFont val="Tahoma"/>
            <family val="2"/>
          </rPr>
          <t xml:space="preserve">
Lei Provincial no. 13 de 19 Marco de 1858</t>
        </r>
      </text>
    </comment>
    <comment ref="AK16" authorId="0" shapeId="0">
      <text>
        <r>
          <rPr>
            <b/>
            <sz val="8"/>
            <color indexed="81"/>
            <rFont val="Tahoma"/>
            <family val="2"/>
          </rPr>
          <t>Author:</t>
        </r>
        <r>
          <rPr>
            <sz val="8"/>
            <color indexed="81"/>
            <rFont val="Tahoma"/>
            <family val="2"/>
          </rPr>
          <t xml:space="preserve">
Lei Provincial no. 13 de 19 Marco de 1858</t>
        </r>
      </text>
    </comment>
    <comment ref="AL16" authorId="0" shapeId="0">
      <text>
        <r>
          <rPr>
            <b/>
            <sz val="8"/>
            <color indexed="81"/>
            <rFont val="Tahoma"/>
            <family val="2"/>
          </rPr>
          <t>Author:</t>
        </r>
        <r>
          <rPr>
            <sz val="8"/>
            <color indexed="81"/>
            <rFont val="Tahoma"/>
            <family val="2"/>
          </rPr>
          <t xml:space="preserve">
Lei Provincial no. 70, art 6, de 22 Abril 1865</t>
        </r>
      </text>
    </comment>
    <comment ref="AV16" authorId="0" shapeId="0">
      <text>
        <r>
          <rPr>
            <b/>
            <sz val="8"/>
            <color indexed="81"/>
            <rFont val="Tahoma"/>
            <family val="2"/>
          </rPr>
          <t>Author:</t>
        </r>
        <r>
          <rPr>
            <sz val="8"/>
            <color indexed="81"/>
            <rFont val="Tahoma"/>
            <family val="2"/>
          </rPr>
          <t xml:space="preserve">
lei provincial no. 70 of 22 Abril 1850</t>
        </r>
      </text>
    </comment>
    <comment ref="AV19" authorId="0" shapeId="0">
      <text>
        <r>
          <rPr>
            <b/>
            <sz val="8"/>
            <color indexed="81"/>
            <rFont val="Tahoma"/>
            <family val="2"/>
          </rPr>
          <t>Author:</t>
        </r>
        <r>
          <rPr>
            <sz val="8"/>
            <color indexed="81"/>
            <rFont val="Tahoma"/>
            <family val="2"/>
          </rPr>
          <t xml:space="preserve">
Lei Provincial no. 67 of 31 May 1875</t>
        </r>
      </text>
    </comment>
    <comment ref="AW19" authorId="0" shapeId="0">
      <text>
        <r>
          <rPr>
            <b/>
            <sz val="8"/>
            <color indexed="81"/>
            <rFont val="Tahoma"/>
            <family val="2"/>
          </rPr>
          <t>Author:</t>
        </r>
        <r>
          <rPr>
            <sz val="8"/>
            <color indexed="81"/>
            <rFont val="Tahoma"/>
            <family val="2"/>
          </rPr>
          <t xml:space="preserve">
includes portas e janelas</t>
        </r>
      </text>
    </comment>
    <comment ref="AB21" authorId="0" shapeId="0">
      <text>
        <r>
          <rPr>
            <b/>
            <sz val="8"/>
            <color indexed="81"/>
            <rFont val="Tahoma"/>
            <family val="2"/>
          </rPr>
          <t>Author:</t>
        </r>
        <r>
          <rPr>
            <sz val="8"/>
            <color indexed="81"/>
            <rFont val="Tahoma"/>
            <family val="2"/>
          </rPr>
          <t xml:space="preserve">
This is for works on the bridge, so this is a dedicated revenue line.</t>
        </r>
      </text>
    </comment>
    <comment ref="A26" authorId="0" shapeId="0">
      <text>
        <r>
          <rPr>
            <b/>
            <sz val="8"/>
            <color indexed="81"/>
            <rFont val="Tahoma"/>
            <family val="2"/>
          </rPr>
          <t>Author:</t>
        </r>
        <r>
          <rPr>
            <sz val="8"/>
            <color indexed="81"/>
            <rFont val="Tahoma"/>
            <family val="2"/>
          </rPr>
          <t xml:space="preserve">
a series of slides of scenery from various countries observed through an optical device that amplifies the images.  Also, the name of the optical device.</t>
        </r>
      </text>
    </comment>
    <comment ref="A29" authorId="0" shapeId="0">
      <text>
        <r>
          <rPr>
            <b/>
            <sz val="8"/>
            <color indexed="81"/>
            <rFont val="Tahoma"/>
            <family val="2"/>
          </rPr>
          <t>Author:</t>
        </r>
        <r>
          <rPr>
            <sz val="8"/>
            <color indexed="81"/>
            <rFont val="Tahoma"/>
            <family val="2"/>
          </rPr>
          <t xml:space="preserve">
authorized by Provincial Law 25 of 25 April 1859, article 60.</t>
        </r>
      </text>
    </comment>
    <comment ref="S29" authorId="0" shapeId="0">
      <text>
        <r>
          <rPr>
            <b/>
            <sz val="8"/>
            <color indexed="81"/>
            <rFont val="Tahoma"/>
            <family val="2"/>
          </rPr>
          <t>Author:</t>
        </r>
        <r>
          <rPr>
            <sz val="8"/>
            <color indexed="81"/>
            <rFont val="Tahoma"/>
            <family val="2"/>
          </rPr>
          <t xml:space="preserve">
4$000 Estanques, 1$600 Afericoes, $320 Cabecas.  Equals 30 Estanques, 69 Afericoes, and 87 cabecas</t>
        </r>
      </text>
    </comment>
    <comment ref="BE33" authorId="0" shapeId="0">
      <text>
        <r>
          <rPr>
            <b/>
            <sz val="8"/>
            <color indexed="81"/>
            <rFont val="Tahoma"/>
            <family val="2"/>
          </rPr>
          <t>Author:</t>
        </r>
        <r>
          <rPr>
            <sz val="8"/>
            <color indexed="81"/>
            <rFont val="Tahoma"/>
            <family val="2"/>
          </rPr>
          <t xml:space="preserve">
generos de importacao, exportacao, e outros diversos
</t>
        </r>
      </text>
    </comment>
    <comment ref="A36" authorId="0" shapeId="0">
      <text>
        <r>
          <rPr>
            <b/>
            <sz val="8"/>
            <color indexed="81"/>
            <rFont val="Tahoma"/>
            <family val="2"/>
          </rPr>
          <t>Author:</t>
        </r>
        <r>
          <rPr>
            <sz val="8"/>
            <color indexed="81"/>
            <rFont val="Tahoma"/>
            <family val="2"/>
          </rPr>
          <t xml:space="preserve">
Authorized by Provincial law 1 of 19 Feb 1845</t>
        </r>
      </text>
    </comment>
    <comment ref="S36" authorId="0" shapeId="0">
      <text>
        <r>
          <rPr>
            <b/>
            <sz val="8"/>
            <color indexed="81"/>
            <rFont val="Tahoma"/>
            <family val="2"/>
          </rPr>
          <t>Author:</t>
        </r>
        <r>
          <rPr>
            <sz val="8"/>
            <color indexed="81"/>
            <rFont val="Tahoma"/>
            <family val="2"/>
          </rPr>
          <t xml:space="preserve">
specified as 6$400, just like the later Novo Imposto.  I think they are the same, just that the Novo one was renewed in 1858</t>
        </r>
      </text>
    </comment>
    <comment ref="V36" authorId="0" shapeId="0">
      <text>
        <r>
          <rPr>
            <b/>
            <sz val="8"/>
            <color indexed="81"/>
            <rFont val="Tahoma"/>
            <family val="2"/>
          </rPr>
          <t>Author:</t>
        </r>
        <r>
          <rPr>
            <sz val="8"/>
            <color indexed="81"/>
            <rFont val="Tahoma"/>
            <family val="2"/>
          </rPr>
          <t xml:space="preserve">
specified as 6$400, just like the later Novo Imposto.  I think they are the same, just that the Novo one was renewed in 1858</t>
        </r>
      </text>
    </comment>
    <comment ref="W36" authorId="0" shapeId="0">
      <text>
        <r>
          <rPr>
            <b/>
            <sz val="8"/>
            <color indexed="81"/>
            <rFont val="Tahoma"/>
            <family val="2"/>
          </rPr>
          <t>Author:</t>
        </r>
        <r>
          <rPr>
            <sz val="8"/>
            <color indexed="81"/>
            <rFont val="Tahoma"/>
            <family val="2"/>
          </rPr>
          <t xml:space="preserve">
specified as 6$400, just like the later Novo Imposto.  I think they are the same, just that the Novo one was renewed in 1858</t>
        </r>
      </text>
    </comment>
    <comment ref="X36" authorId="0" shapeId="0">
      <text>
        <r>
          <rPr>
            <b/>
            <sz val="8"/>
            <color indexed="81"/>
            <rFont val="Tahoma"/>
            <family val="2"/>
          </rPr>
          <t>Author:</t>
        </r>
        <r>
          <rPr>
            <sz val="8"/>
            <color indexed="81"/>
            <rFont val="Tahoma"/>
            <family val="2"/>
          </rPr>
          <t xml:space="preserve">
specified as 6$400, just like the later Novo Imposto.  I think they are the same, just that the Novo one was renewed in 1858</t>
        </r>
      </text>
    </comment>
    <comment ref="Y36" authorId="0" shapeId="0">
      <text>
        <r>
          <rPr>
            <b/>
            <sz val="8"/>
            <color indexed="81"/>
            <rFont val="Tahoma"/>
            <family val="2"/>
          </rPr>
          <t>Author:</t>
        </r>
        <r>
          <rPr>
            <sz val="8"/>
            <color indexed="81"/>
            <rFont val="Tahoma"/>
            <family val="2"/>
          </rPr>
          <t xml:space="preserve">
specified as 6$400, just like the later Novo Imposto.  I think they are the same, just that the Novo one was renewed in 1858</t>
        </r>
      </text>
    </comment>
    <comment ref="H37" authorId="0" shapeId="0">
      <text>
        <r>
          <rPr>
            <b/>
            <sz val="8"/>
            <color indexed="81"/>
            <rFont val="Tahoma"/>
            <family val="2"/>
          </rPr>
          <t>Author:</t>
        </r>
        <r>
          <rPr>
            <sz val="8"/>
            <color indexed="81"/>
            <rFont val="Tahoma"/>
            <family val="2"/>
          </rPr>
          <t xml:space="preserve">
rifa, or raffle license.</t>
        </r>
      </text>
    </comment>
    <comment ref="I37" authorId="0" shapeId="0">
      <text>
        <r>
          <rPr>
            <b/>
            <sz val="8"/>
            <color indexed="81"/>
            <rFont val="Tahoma"/>
            <family val="2"/>
          </rPr>
          <t>Author:</t>
        </r>
        <r>
          <rPr>
            <sz val="8"/>
            <color indexed="81"/>
            <rFont val="Tahoma"/>
            <family val="2"/>
          </rPr>
          <t xml:space="preserve">
rifa, or raffle license.</t>
        </r>
      </text>
    </comment>
    <comment ref="W37" authorId="0" shapeId="0">
      <text>
        <r>
          <rPr>
            <b/>
            <sz val="8"/>
            <color indexed="81"/>
            <rFont val="Tahoma"/>
            <family val="2"/>
          </rPr>
          <t>Author:</t>
        </r>
        <r>
          <rPr>
            <sz val="8"/>
            <color indexed="81"/>
            <rFont val="Tahoma"/>
            <family val="2"/>
          </rPr>
          <t xml:space="preserve">
rifa, or raffle license.</t>
        </r>
      </text>
    </comment>
    <comment ref="AC37" authorId="0" shapeId="0">
      <text>
        <r>
          <rPr>
            <b/>
            <sz val="8"/>
            <color indexed="81"/>
            <rFont val="Tahoma"/>
            <family val="2"/>
          </rPr>
          <t>Author:</t>
        </r>
        <r>
          <rPr>
            <sz val="8"/>
            <color indexed="81"/>
            <rFont val="Tahoma"/>
            <family val="2"/>
          </rPr>
          <t xml:space="preserve">
rifa, or raffle license.</t>
        </r>
      </text>
    </comment>
    <comment ref="AL42" authorId="0" shapeId="0">
      <text>
        <r>
          <rPr>
            <b/>
            <sz val="8"/>
            <color indexed="81"/>
            <rFont val="Tahoma"/>
            <family val="2"/>
          </rPr>
          <t>Author:</t>
        </r>
        <r>
          <rPr>
            <sz val="8"/>
            <color indexed="81"/>
            <rFont val="Tahoma"/>
            <family val="2"/>
          </rPr>
          <t xml:space="preserve">
Lei Provincial no. 70, art 6, de 22 Abril 1865</t>
        </r>
      </text>
    </comment>
    <comment ref="A45" authorId="0" shapeId="0">
      <text>
        <r>
          <rPr>
            <b/>
            <sz val="8"/>
            <color indexed="81"/>
            <rFont val="Tahoma"/>
            <family val="2"/>
          </rPr>
          <t>Author:</t>
        </r>
        <r>
          <rPr>
            <sz val="8"/>
            <color indexed="81"/>
            <rFont val="Tahoma"/>
            <family val="2"/>
          </rPr>
          <t xml:space="preserve">
Prov Law No. 9 of 9 March 1840 article 3</t>
        </r>
      </text>
    </comment>
    <comment ref="B82" authorId="0" shapeId="0">
      <text>
        <r>
          <rPr>
            <b/>
            <sz val="8"/>
            <color indexed="81"/>
            <rFont val="Tahoma"/>
            <family val="2"/>
          </rPr>
          <t>Author:</t>
        </r>
        <r>
          <rPr>
            <sz val="8"/>
            <color indexed="81"/>
            <rFont val="Tahoma"/>
            <family val="2"/>
          </rPr>
          <t xml:space="preserve">
1 October to 30 September</t>
        </r>
      </text>
    </comment>
    <comment ref="C82" authorId="0" shapeId="0">
      <text>
        <r>
          <rPr>
            <b/>
            <sz val="8"/>
            <color indexed="81"/>
            <rFont val="Tahoma"/>
            <family val="2"/>
          </rPr>
          <t>Author:</t>
        </r>
        <r>
          <rPr>
            <sz val="8"/>
            <color indexed="81"/>
            <rFont val="Tahoma"/>
            <family val="2"/>
          </rPr>
          <t xml:space="preserve">
1 October to 30 September</t>
        </r>
      </text>
    </comment>
    <comment ref="D82" authorId="0" shapeId="0">
      <text>
        <r>
          <rPr>
            <b/>
            <sz val="8"/>
            <color indexed="81"/>
            <rFont val="Tahoma"/>
            <family val="2"/>
          </rPr>
          <t>Author:</t>
        </r>
        <r>
          <rPr>
            <sz val="8"/>
            <color indexed="81"/>
            <rFont val="Tahoma"/>
            <family val="2"/>
          </rPr>
          <t xml:space="preserve">
1 October to 30 September</t>
        </r>
      </text>
    </comment>
    <comment ref="E82" authorId="0" shapeId="0">
      <text>
        <r>
          <rPr>
            <b/>
            <sz val="8"/>
            <color indexed="81"/>
            <rFont val="Tahoma"/>
            <family val="2"/>
          </rPr>
          <t>Author:</t>
        </r>
        <r>
          <rPr>
            <sz val="8"/>
            <color indexed="81"/>
            <rFont val="Tahoma"/>
            <family val="2"/>
          </rPr>
          <t xml:space="preserve">
1 October to 30 September</t>
        </r>
      </text>
    </comment>
    <comment ref="F82" authorId="0" shapeId="0">
      <text>
        <r>
          <rPr>
            <b/>
            <sz val="8"/>
            <color indexed="81"/>
            <rFont val="Tahoma"/>
            <family val="2"/>
          </rPr>
          <t>Author:</t>
        </r>
        <r>
          <rPr>
            <sz val="8"/>
            <color indexed="81"/>
            <rFont val="Tahoma"/>
            <family val="2"/>
          </rPr>
          <t xml:space="preserve">
1 October to 30 September</t>
        </r>
      </text>
    </comment>
    <comment ref="G82" authorId="0" shapeId="0">
      <text>
        <r>
          <rPr>
            <b/>
            <sz val="8"/>
            <color indexed="81"/>
            <rFont val="Tahoma"/>
            <family val="2"/>
          </rPr>
          <t>Author:</t>
        </r>
        <r>
          <rPr>
            <sz val="8"/>
            <color indexed="81"/>
            <rFont val="Tahoma"/>
            <family val="2"/>
          </rPr>
          <t xml:space="preserve">
1 October to 30 September</t>
        </r>
      </text>
    </comment>
    <comment ref="H82" authorId="0" shapeId="0">
      <text>
        <r>
          <rPr>
            <b/>
            <sz val="8"/>
            <color indexed="81"/>
            <rFont val="Tahoma"/>
            <family val="2"/>
          </rPr>
          <t>Author:</t>
        </r>
        <r>
          <rPr>
            <sz val="8"/>
            <color indexed="81"/>
            <rFont val="Tahoma"/>
            <family val="2"/>
          </rPr>
          <t xml:space="preserve">
1 October to 30 September</t>
        </r>
      </text>
    </comment>
    <comment ref="I82" authorId="0" shapeId="0">
      <text>
        <r>
          <rPr>
            <b/>
            <sz val="8"/>
            <color indexed="81"/>
            <rFont val="Tahoma"/>
            <family val="2"/>
          </rPr>
          <t>Author:</t>
        </r>
        <r>
          <rPr>
            <sz val="8"/>
            <color indexed="81"/>
            <rFont val="Tahoma"/>
            <family val="2"/>
          </rPr>
          <t xml:space="preserve">
1 October to 30 September</t>
        </r>
      </text>
    </comment>
    <comment ref="J82" authorId="0" shapeId="0">
      <text>
        <r>
          <rPr>
            <b/>
            <sz val="8"/>
            <color indexed="81"/>
            <rFont val="Tahoma"/>
            <family val="2"/>
          </rPr>
          <t>Author:</t>
        </r>
        <r>
          <rPr>
            <sz val="8"/>
            <color indexed="81"/>
            <rFont val="Tahoma"/>
            <family val="2"/>
          </rPr>
          <t xml:space="preserve">
1 October to 30 September</t>
        </r>
      </text>
    </comment>
    <comment ref="K82" authorId="0" shapeId="0">
      <text>
        <r>
          <rPr>
            <b/>
            <sz val="8"/>
            <color indexed="81"/>
            <rFont val="Tahoma"/>
            <family val="2"/>
          </rPr>
          <t>Author:</t>
        </r>
        <r>
          <rPr>
            <sz val="8"/>
            <color indexed="81"/>
            <rFont val="Tahoma"/>
            <family val="2"/>
          </rPr>
          <t xml:space="preserve">
1 October to 30 September</t>
        </r>
      </text>
    </comment>
    <comment ref="P82" authorId="0" shapeId="0">
      <text>
        <r>
          <rPr>
            <b/>
            <sz val="8"/>
            <color indexed="81"/>
            <rFont val="Tahoma"/>
            <family val="2"/>
          </rPr>
          <t>Author:</t>
        </r>
        <r>
          <rPr>
            <sz val="8"/>
            <color indexed="81"/>
            <rFont val="Tahoma"/>
            <family val="2"/>
          </rPr>
          <t xml:space="preserve">
1 October to 30 September</t>
        </r>
      </text>
    </comment>
    <comment ref="AV87" authorId="0" shapeId="0">
      <text>
        <r>
          <rPr>
            <b/>
            <sz val="8"/>
            <color indexed="81"/>
            <rFont val="Tahoma"/>
            <family val="2"/>
          </rPr>
          <t>Author:</t>
        </r>
        <r>
          <rPr>
            <sz val="8"/>
            <color indexed="81"/>
            <rFont val="Tahoma"/>
            <family val="2"/>
          </rPr>
          <t xml:space="preserve">
note that the salaries of all these officials are in arrears.</t>
        </r>
      </text>
    </comment>
    <comment ref="AV95" authorId="0" shapeId="0">
      <text>
        <r>
          <rPr>
            <b/>
            <sz val="8"/>
            <color indexed="81"/>
            <rFont val="Tahoma"/>
            <family val="2"/>
          </rPr>
          <t>Author:</t>
        </r>
        <r>
          <rPr>
            <sz val="8"/>
            <color indexed="81"/>
            <rFont val="Tahoma"/>
            <family val="2"/>
          </rPr>
          <t xml:space="preserve">
they are in arrears to the fiscaes to tune of 120$000.</t>
        </r>
      </text>
    </comment>
    <comment ref="AO96" authorId="0" shapeId="0">
      <text>
        <r>
          <rPr>
            <b/>
            <sz val="8"/>
            <color indexed="81"/>
            <rFont val="Tahoma"/>
            <family val="2"/>
          </rPr>
          <t>Author:</t>
        </r>
        <r>
          <rPr>
            <sz val="8"/>
            <color indexed="81"/>
            <rFont val="Tahoma"/>
            <family val="2"/>
          </rPr>
          <t xml:space="preserve">
He is owed 25$000, which was not paid for lack of funds.</t>
        </r>
      </text>
    </comment>
    <comment ref="AV96" authorId="0" shapeId="0">
      <text>
        <r>
          <rPr>
            <b/>
            <sz val="8"/>
            <color indexed="81"/>
            <rFont val="Tahoma"/>
            <family val="2"/>
          </rPr>
          <t>Author:</t>
        </r>
        <r>
          <rPr>
            <sz val="8"/>
            <color indexed="81"/>
            <rFont val="Tahoma"/>
            <family val="2"/>
          </rPr>
          <t xml:space="preserve">
here too, the Camara couldn't find someone willing to work for low pay.  The camara raised his pay this year and in the future will budget 400,000.</t>
        </r>
      </text>
    </comment>
    <comment ref="AW96" authorId="0" shapeId="0">
      <text>
        <r>
          <rPr>
            <b/>
            <sz val="8"/>
            <color indexed="81"/>
            <rFont val="Tahoma"/>
            <family val="2"/>
          </rPr>
          <t>Author:</t>
        </r>
        <r>
          <rPr>
            <sz val="8"/>
            <color indexed="81"/>
            <rFont val="Tahoma"/>
            <family val="2"/>
          </rPr>
          <t xml:space="preserve">
The Camara couldn't find someone willing to work for low pay.  The camara raised his pay this year and in the future will budget 400,000.</t>
        </r>
      </text>
    </comment>
    <comment ref="AO99" authorId="0" shapeId="0">
      <text>
        <r>
          <rPr>
            <b/>
            <sz val="8"/>
            <color indexed="81"/>
            <rFont val="Tahoma"/>
            <family val="2"/>
          </rPr>
          <t>Author:</t>
        </r>
        <r>
          <rPr>
            <sz val="8"/>
            <color indexed="81"/>
            <rFont val="Tahoma"/>
            <family val="2"/>
          </rPr>
          <t xml:space="preserve">
He is owed 75$000, which was not paid for lack of funds.</t>
        </r>
      </text>
    </comment>
    <comment ref="AV99" authorId="0" shapeId="0">
      <text>
        <r>
          <rPr>
            <b/>
            <sz val="8"/>
            <color indexed="81"/>
            <rFont val="Tahoma"/>
            <family val="2"/>
          </rPr>
          <t>Author:</t>
        </r>
        <r>
          <rPr>
            <sz val="8"/>
            <color indexed="81"/>
            <rFont val="Tahoma"/>
            <family val="2"/>
          </rPr>
          <t xml:space="preserve">
"Pelo mesmo motivo viu-se a Camara obrigada a gratificar ao Porteiro do 2o trimestre do anno financeiro em diante a razao de 200$000 annuaes, para que elevou no orcamento futuro a' 200$000.</t>
        </r>
      </text>
    </comment>
    <comment ref="AB100" authorId="0" shapeId="0">
      <text>
        <r>
          <rPr>
            <b/>
            <sz val="8"/>
            <color indexed="81"/>
            <rFont val="Tahoma"/>
            <family val="2"/>
          </rPr>
          <t>Author:</t>
        </r>
        <r>
          <rPr>
            <sz val="8"/>
            <color indexed="81"/>
            <rFont val="Tahoma"/>
            <family val="2"/>
          </rPr>
          <t xml:space="preserve">
two years:  1858 and 1859</t>
        </r>
      </text>
    </comment>
    <comment ref="B101" authorId="0" shapeId="0">
      <text>
        <r>
          <rPr>
            <b/>
            <sz val="8"/>
            <color indexed="81"/>
            <rFont val="Tahoma"/>
            <family val="2"/>
          </rPr>
          <t>Author:</t>
        </r>
        <r>
          <rPr>
            <sz val="8"/>
            <color indexed="81"/>
            <rFont val="Tahoma"/>
            <family val="2"/>
          </rPr>
          <t xml:space="preserve">
6%</t>
        </r>
      </text>
    </comment>
    <comment ref="D101" authorId="0" shapeId="0">
      <text>
        <r>
          <rPr>
            <b/>
            <sz val="8"/>
            <color indexed="81"/>
            <rFont val="Tahoma"/>
            <family val="2"/>
          </rPr>
          <t>Author:</t>
        </r>
        <r>
          <rPr>
            <sz val="8"/>
            <color indexed="81"/>
            <rFont val="Tahoma"/>
            <family val="2"/>
          </rPr>
          <t xml:space="preserve">
6%</t>
        </r>
      </text>
    </comment>
    <comment ref="Q101" authorId="0" shapeId="0">
      <text>
        <r>
          <rPr>
            <b/>
            <sz val="8"/>
            <color indexed="81"/>
            <rFont val="Tahoma"/>
            <family val="2"/>
          </rPr>
          <t>Author:</t>
        </r>
        <r>
          <rPr>
            <sz val="8"/>
            <color indexed="81"/>
            <rFont val="Tahoma"/>
            <family val="2"/>
          </rPr>
          <t xml:space="preserve">
12%</t>
        </r>
      </text>
    </comment>
    <comment ref="S101" authorId="0" shapeId="0">
      <text>
        <r>
          <rPr>
            <b/>
            <sz val="8"/>
            <color indexed="81"/>
            <rFont val="Tahoma"/>
            <family val="2"/>
          </rPr>
          <t>Author:</t>
        </r>
        <r>
          <rPr>
            <sz val="8"/>
            <color indexed="81"/>
            <rFont val="Tahoma"/>
            <family val="2"/>
          </rPr>
          <t xml:space="preserve">
12%</t>
        </r>
      </text>
    </comment>
    <comment ref="U101" authorId="0" shapeId="0">
      <text>
        <r>
          <rPr>
            <b/>
            <sz val="8"/>
            <color indexed="81"/>
            <rFont val="Tahoma"/>
            <family val="2"/>
          </rPr>
          <t>Author:</t>
        </r>
        <r>
          <rPr>
            <sz val="8"/>
            <color indexed="81"/>
            <rFont val="Tahoma"/>
            <family val="2"/>
          </rPr>
          <t xml:space="preserve">
12%</t>
        </r>
      </text>
    </comment>
    <comment ref="V101" authorId="0" shapeId="0">
      <text>
        <r>
          <rPr>
            <b/>
            <sz val="8"/>
            <color indexed="81"/>
            <rFont val="Tahoma"/>
            <family val="2"/>
          </rPr>
          <t>Author:</t>
        </r>
        <r>
          <rPr>
            <sz val="8"/>
            <color indexed="81"/>
            <rFont val="Tahoma"/>
            <family val="2"/>
          </rPr>
          <t xml:space="preserve">
12%</t>
        </r>
      </text>
    </comment>
    <comment ref="W101" authorId="0" shapeId="0">
      <text>
        <r>
          <rPr>
            <b/>
            <sz val="8"/>
            <color indexed="81"/>
            <rFont val="Tahoma"/>
            <family val="2"/>
          </rPr>
          <t>Author:</t>
        </r>
        <r>
          <rPr>
            <sz val="8"/>
            <color indexed="81"/>
            <rFont val="Tahoma"/>
            <family val="2"/>
          </rPr>
          <t xml:space="preserve">
12%</t>
        </r>
      </text>
    </comment>
    <comment ref="Y101" authorId="0" shapeId="0">
      <text>
        <r>
          <rPr>
            <b/>
            <sz val="8"/>
            <color indexed="81"/>
            <rFont val="Tahoma"/>
            <family val="2"/>
          </rPr>
          <t>Author:</t>
        </r>
        <r>
          <rPr>
            <sz val="8"/>
            <color indexed="81"/>
            <rFont val="Tahoma"/>
            <family val="2"/>
          </rPr>
          <t xml:space="preserve">
12%</t>
        </r>
      </text>
    </comment>
    <comment ref="Z101" authorId="0" shapeId="0">
      <text>
        <r>
          <rPr>
            <b/>
            <sz val="8"/>
            <color indexed="81"/>
            <rFont val="Tahoma"/>
            <family val="2"/>
          </rPr>
          <t>Author:</t>
        </r>
        <r>
          <rPr>
            <sz val="8"/>
            <color indexed="81"/>
            <rFont val="Tahoma"/>
            <family val="2"/>
          </rPr>
          <t xml:space="preserve">
12%</t>
        </r>
      </text>
    </comment>
    <comment ref="AA101" authorId="0" shapeId="0">
      <text>
        <r>
          <rPr>
            <b/>
            <sz val="8"/>
            <color indexed="81"/>
            <rFont val="Tahoma"/>
            <family val="2"/>
          </rPr>
          <t>Author:</t>
        </r>
        <r>
          <rPr>
            <sz val="8"/>
            <color indexed="81"/>
            <rFont val="Tahoma"/>
            <family val="2"/>
          </rPr>
          <t xml:space="preserve">
12%</t>
        </r>
      </text>
    </comment>
    <comment ref="AB101" authorId="0" shapeId="0">
      <text>
        <r>
          <rPr>
            <b/>
            <sz val="8"/>
            <color indexed="81"/>
            <rFont val="Tahoma"/>
            <family val="2"/>
          </rPr>
          <t>Author:</t>
        </r>
        <r>
          <rPr>
            <sz val="8"/>
            <color indexed="81"/>
            <rFont val="Tahoma"/>
            <family val="2"/>
          </rPr>
          <t xml:space="preserve">
12%</t>
        </r>
      </text>
    </comment>
    <comment ref="AJ101" authorId="0" shapeId="0">
      <text>
        <r>
          <rPr>
            <sz val="8"/>
            <color indexed="81"/>
            <rFont val="Tahoma"/>
            <family val="2"/>
          </rPr>
          <t>Lei de 1 de outubro de 1828, art 81, Lei Provincial no. 2 de 5 de Marco de 1849</t>
        </r>
      </text>
    </comment>
    <comment ref="AL101" authorId="0" shapeId="0">
      <text>
        <r>
          <rPr>
            <sz val="8"/>
            <color indexed="81"/>
            <rFont val="Tahoma"/>
            <family val="2"/>
          </rPr>
          <t>Lei de 1 de outubro de 1828, art 81, Lei Provincial no. 2 de 5 de Marco de 1849</t>
        </r>
      </text>
    </comment>
    <comment ref="AO101" authorId="0" shapeId="0">
      <text>
        <r>
          <rPr>
            <b/>
            <sz val="8"/>
            <color indexed="81"/>
            <rFont val="Tahoma"/>
            <family val="2"/>
          </rPr>
          <t>Author:</t>
        </r>
        <r>
          <rPr>
            <sz val="8"/>
            <color indexed="81"/>
            <rFont val="Tahoma"/>
            <family val="2"/>
          </rPr>
          <t xml:space="preserve">
Provincial Law no. 2 of 5 March 1849 and no 13 of 19 March 1858.  (I believe these are budget laws)</t>
        </r>
      </text>
    </comment>
    <comment ref="AO103" authorId="0" shapeId="0">
      <text>
        <r>
          <rPr>
            <b/>
            <sz val="8"/>
            <color indexed="81"/>
            <rFont val="Tahoma"/>
            <family val="2"/>
          </rPr>
          <t>Author:</t>
        </r>
        <r>
          <rPr>
            <sz val="8"/>
            <color indexed="81"/>
            <rFont val="Tahoma"/>
            <family val="2"/>
          </rPr>
          <t xml:space="preserve">
He is owed 141$130, which was not paid for lack of funds.</t>
        </r>
      </text>
    </comment>
    <comment ref="AV103" authorId="0" shapeId="0">
      <text>
        <r>
          <rPr>
            <b/>
            <sz val="8"/>
            <color indexed="81"/>
            <rFont val="Tahoma"/>
            <family val="2"/>
          </rPr>
          <t>Author:</t>
        </r>
        <r>
          <rPr>
            <sz val="8"/>
            <color indexed="81"/>
            <rFont val="Tahoma"/>
            <family val="2"/>
          </rPr>
          <t xml:space="preserve">
There is a note on the balance sheet to say that because they couldn't find anyone to fill the job at 350$000 per year, they will budget pay of 400$000 in the future.  This amount is actual pay.  Another column shows the Camara Municipal is in arrears in paying the salary.</t>
        </r>
      </text>
    </comment>
    <comment ref="AW103" authorId="0" shapeId="0">
      <text>
        <r>
          <rPr>
            <b/>
            <sz val="8"/>
            <color indexed="81"/>
            <rFont val="Tahoma"/>
            <family val="2"/>
          </rPr>
          <t>Author:</t>
        </r>
        <r>
          <rPr>
            <sz val="8"/>
            <color indexed="81"/>
            <rFont val="Tahoma"/>
            <family val="2"/>
          </rPr>
          <t xml:space="preserve">
There is a note on the balance sheet to say that because they couldn't find anyone to fill the job at 350$000 per year, they will budget pay of 400$000 in the future.  This amount is actual pay.  Another column shows the Camara Municipal is in arrears in paying the salary.</t>
        </r>
      </text>
    </comment>
    <comment ref="C113" authorId="0" shapeId="0">
      <text>
        <r>
          <rPr>
            <b/>
            <sz val="8"/>
            <color indexed="81"/>
            <rFont val="Tahoma"/>
            <family val="2"/>
          </rPr>
          <t>Author:</t>
        </r>
        <r>
          <rPr>
            <sz val="8"/>
            <color indexed="81"/>
            <rFont val="Tahoma"/>
            <family val="2"/>
          </rPr>
          <t xml:space="preserve">
bridge repair</t>
        </r>
      </text>
    </comment>
    <comment ref="H113" authorId="0" shapeId="0">
      <text>
        <r>
          <rPr>
            <b/>
            <sz val="9"/>
            <color indexed="81"/>
            <rFont val="Tahoma"/>
            <family val="2"/>
          </rPr>
          <t>Author:</t>
        </r>
        <r>
          <rPr>
            <sz val="9"/>
            <color indexed="81"/>
            <rFont val="Tahoma"/>
            <family val="2"/>
          </rPr>
          <t xml:space="preserve">
inlcuding repairs to the jail and bars for it too</t>
        </r>
      </text>
    </comment>
    <comment ref="I113" authorId="0" shapeId="0">
      <text>
        <r>
          <rPr>
            <b/>
            <sz val="9"/>
            <color indexed="81"/>
            <rFont val="Tahoma"/>
            <family val="2"/>
          </rPr>
          <t>Author:</t>
        </r>
        <r>
          <rPr>
            <sz val="9"/>
            <color indexed="81"/>
            <rFont val="Tahoma"/>
            <family val="2"/>
          </rPr>
          <t xml:space="preserve">
and bridge repairs to the Engenho da Serra and Sapucahy bridges </t>
        </r>
      </text>
    </comment>
    <comment ref="S113" authorId="0" shapeId="0">
      <text>
        <r>
          <rPr>
            <b/>
            <sz val="8"/>
            <color indexed="81"/>
            <rFont val="Tahoma"/>
            <family val="2"/>
          </rPr>
          <t>Author:</t>
        </r>
        <r>
          <rPr>
            <sz val="8"/>
            <color indexed="81"/>
            <rFont val="Tahoma"/>
            <family val="2"/>
          </rPr>
          <t xml:space="preserve">
street paving, bridge repair.</t>
        </r>
      </text>
    </comment>
    <comment ref="X113" authorId="0" shapeId="0">
      <text>
        <r>
          <rPr>
            <b/>
            <sz val="9"/>
            <color indexed="81"/>
            <rFont val="Tahoma"/>
            <family val="2"/>
          </rPr>
          <t>Author:</t>
        </r>
        <r>
          <rPr>
            <sz val="9"/>
            <color indexed="81"/>
            <rFont val="Tahoma"/>
            <family val="2"/>
          </rPr>
          <t xml:space="preserve">
especially big amount because of mud slides from the rains and the need to remove ant hills</t>
        </r>
      </text>
    </comment>
    <comment ref="AB113" authorId="0" shapeId="0">
      <text>
        <r>
          <rPr>
            <b/>
            <sz val="8"/>
            <color indexed="81"/>
            <rFont val="Tahoma"/>
            <family val="2"/>
          </rPr>
          <t>Author:</t>
        </r>
        <r>
          <rPr>
            <sz val="8"/>
            <color indexed="81"/>
            <rFont val="Tahoma"/>
            <family val="2"/>
          </rPr>
          <t xml:space="preserve">
amount paid to a man for the "tirada da agua para o chafariz desta cidade," five dozen boards of wood for encanamento, and general obras publicas, in that order.</t>
        </r>
      </text>
    </comment>
    <comment ref="AP113" authorId="0" shapeId="0">
      <text>
        <r>
          <rPr>
            <b/>
            <sz val="9"/>
            <color indexed="81"/>
            <rFont val="Tahoma"/>
            <family val="2"/>
          </rPr>
          <t>Author:</t>
        </r>
        <r>
          <rPr>
            <sz val="9"/>
            <color indexed="81"/>
            <rFont val="Tahoma"/>
            <family val="2"/>
          </rPr>
          <t xml:space="preserve">
expenditures on Casa da Camara, Cadeia e outras</t>
        </r>
      </text>
    </comment>
    <comment ref="AV113" authorId="0" shapeId="0">
      <text>
        <r>
          <rPr>
            <b/>
            <sz val="9"/>
            <color indexed="81"/>
            <rFont val="Tahoma"/>
            <family val="2"/>
          </rPr>
          <t>Author:</t>
        </r>
        <r>
          <rPr>
            <sz val="9"/>
            <color indexed="81"/>
            <rFont val="Tahoma"/>
            <family val="2"/>
          </rPr>
          <t xml:space="preserve">
Exceeded the budgeted amount because of repairs in the city streets and the general highway [estrada geral] that leads into the street toward the Rio Grande; and also on one bridge on the estrada geral that is in danger of falling into ruins and was repaired by order of the municipal council.</t>
        </r>
      </text>
    </comment>
    <comment ref="AU120" authorId="0" shapeId="0">
      <text>
        <r>
          <rPr>
            <b/>
            <sz val="9"/>
            <color indexed="81"/>
            <rFont val="Tahoma"/>
            <family val="2"/>
          </rPr>
          <t>Author:</t>
        </r>
        <r>
          <rPr>
            <sz val="9"/>
            <color indexed="81"/>
            <rFont val="Tahoma"/>
            <family val="2"/>
          </rPr>
          <t xml:space="preserve">
There is a note in the balance sheet that the amount exceeded the budgeted amount because of "the great number of cases presented to the jury", and of the number in which the municipal treasury was condemned.</t>
        </r>
      </text>
    </comment>
    <comment ref="Y124" authorId="0" shapeId="0">
      <text>
        <r>
          <rPr>
            <b/>
            <sz val="8"/>
            <color indexed="81"/>
            <rFont val="Tahoma"/>
            <family val="2"/>
          </rPr>
          <t>Author:</t>
        </r>
        <r>
          <rPr>
            <sz val="8"/>
            <color indexed="81"/>
            <rFont val="Tahoma"/>
            <family val="2"/>
          </rPr>
          <t xml:space="preserve">
per law of 1 October 1828</t>
        </r>
      </text>
    </comment>
    <comment ref="AI124" authorId="0" shapeId="0">
      <text>
        <r>
          <rPr>
            <b/>
            <sz val="8"/>
            <color indexed="81"/>
            <rFont val="Tahoma"/>
            <family val="2"/>
          </rPr>
          <t>Author:</t>
        </r>
        <r>
          <rPr>
            <sz val="8"/>
            <color indexed="81"/>
            <rFont val="Tahoma"/>
            <family val="2"/>
          </rPr>
          <t xml:space="preserve">
exceeded the budgeted amount because of the large number of prisoners and because of the high price of  oil (azeite).</t>
        </r>
      </text>
    </comment>
    <comment ref="AJ124" authorId="0" shapeId="0">
      <text>
        <r>
          <rPr>
            <b/>
            <sz val="8"/>
            <color indexed="81"/>
            <rFont val="Tahoma"/>
            <family val="2"/>
          </rPr>
          <t>Author:</t>
        </r>
        <r>
          <rPr>
            <sz val="8"/>
            <color indexed="81"/>
            <rFont val="Tahoma"/>
            <family val="2"/>
          </rPr>
          <t xml:space="preserve">
exceeded the budgeted amount because of the large number of prisoners and because of the high price of  oil (azeite).</t>
        </r>
      </text>
    </comment>
    <comment ref="V151" authorId="0" shapeId="0">
      <text>
        <r>
          <rPr>
            <b/>
            <sz val="8"/>
            <color indexed="81"/>
            <rFont val="Tahoma"/>
            <family val="2"/>
          </rPr>
          <t>Author:</t>
        </r>
        <r>
          <rPr>
            <sz val="8"/>
            <color indexed="81"/>
            <rFont val="Tahoma"/>
            <family val="2"/>
          </rPr>
          <t xml:space="preserve">
including repairs to the Jail,  extinction of ant hills, and sustento de presos pobres.</t>
        </r>
      </text>
    </comment>
    <comment ref="W151" authorId="0" shapeId="0">
      <text>
        <r>
          <rPr>
            <b/>
            <sz val="8"/>
            <color indexed="81"/>
            <rFont val="Tahoma"/>
            <family val="2"/>
          </rPr>
          <t>Author:</t>
        </r>
        <r>
          <rPr>
            <sz val="8"/>
            <color indexed="81"/>
            <rFont val="Tahoma"/>
            <family val="2"/>
          </rPr>
          <t xml:space="preserve">
including repairs to the Jail and extinction of ant hills.</t>
        </r>
      </text>
    </comment>
    <comment ref="Y151" authorId="0" shapeId="0">
      <text>
        <r>
          <rPr>
            <b/>
            <sz val="8"/>
            <color indexed="81"/>
            <rFont val="Tahoma"/>
            <family val="2"/>
          </rPr>
          <t>Author:</t>
        </r>
        <r>
          <rPr>
            <sz val="8"/>
            <color indexed="81"/>
            <rFont val="Tahoma"/>
            <family val="2"/>
          </rPr>
          <t xml:space="preserve">
From balance sheet regarding 130$000 "This quota was exhausted because of the expenses with the Camara election, primary and secondary whose [illegible] included books for  minutes (atas) and qualifications was large, aside such for killing dogs and selection of the corral of the council for pigs and other damaging animals.
Then, regarding: 99$700, "This comes from repairs to the Jail and transportation of poor prisoners, of bed sheets and laundry for one condemned man who is in the jail and is too ill.</t>
        </r>
      </text>
    </comment>
    <comment ref="Z151" authorId="0" shapeId="0">
      <text>
        <r>
          <rPr>
            <b/>
            <sz val="8"/>
            <color indexed="81"/>
            <rFont val="Tahoma"/>
            <family val="2"/>
          </rPr>
          <t>Author:</t>
        </r>
        <r>
          <rPr>
            <sz val="8"/>
            <color indexed="81"/>
            <rFont val="Tahoma"/>
            <family val="2"/>
          </rPr>
          <t xml:space="preserve">
This includes repairs to the jail, extinction of ant hills, inventory of presos pobres, and medication for the ill.</t>
        </r>
      </text>
    </comment>
    <comment ref="AA151" authorId="0" shapeId="0">
      <text>
        <r>
          <rPr>
            <b/>
            <sz val="8"/>
            <color indexed="81"/>
            <rFont val="Tahoma"/>
            <family val="2"/>
          </rPr>
          <t>Author:</t>
        </r>
        <r>
          <rPr>
            <sz val="8"/>
            <color indexed="81"/>
            <rFont val="Tahoma"/>
            <family val="2"/>
          </rPr>
          <t xml:space="preserve">
This includes repairs to the jail, extinction of ant hills, Camara expenses, and sustento para presos pobres.</t>
        </r>
      </text>
    </comment>
    <comment ref="U152" authorId="0" shapeId="0">
      <text>
        <r>
          <rPr>
            <b/>
            <sz val="8"/>
            <color indexed="81"/>
            <rFont val="Tahoma"/>
            <family val="2"/>
          </rPr>
          <t>Author:</t>
        </r>
        <r>
          <rPr>
            <sz val="8"/>
            <color indexed="81"/>
            <rFont val="Tahoma"/>
            <family val="2"/>
          </rPr>
          <t xml:space="preserve">
despezas com a execucao de 3 reos eforca.</t>
        </r>
      </text>
    </comment>
  </commentList>
</comments>
</file>

<file path=xl/comments5.xml><?xml version="1.0" encoding="utf-8"?>
<comments xmlns="http://schemas.openxmlformats.org/spreadsheetml/2006/main">
  <authors>
    <author>Author</author>
  </authors>
  <commentList>
    <comment ref="B15" authorId="0" shapeId="0">
      <text>
        <r>
          <rPr>
            <b/>
            <sz val="8"/>
            <color indexed="81"/>
            <rFont val="Tahoma"/>
            <family val="2"/>
          </rPr>
          <t>Author:</t>
        </r>
        <r>
          <rPr>
            <sz val="8"/>
            <color indexed="81"/>
            <rFont val="Tahoma"/>
            <family val="2"/>
          </rPr>
          <t xml:space="preserve">
engenhos de serra e carros</t>
        </r>
      </text>
    </comment>
    <comment ref="D15" authorId="0" shapeId="0">
      <text>
        <r>
          <rPr>
            <b/>
            <sz val="8"/>
            <color indexed="81"/>
            <rFont val="Tahoma"/>
            <family val="2"/>
          </rPr>
          <t>Author:</t>
        </r>
        <r>
          <rPr>
            <sz val="8"/>
            <color indexed="81"/>
            <rFont val="Tahoma"/>
            <family val="2"/>
          </rPr>
          <t xml:space="preserve">
engenhos de serra e carros</t>
        </r>
      </text>
    </comment>
    <comment ref="I26" authorId="0" shapeId="0">
      <text>
        <r>
          <rPr>
            <b/>
            <sz val="8"/>
            <color indexed="81"/>
            <rFont val="Tahoma"/>
            <family val="2"/>
          </rPr>
          <t>Author:</t>
        </r>
        <r>
          <rPr>
            <sz val="8"/>
            <color indexed="81"/>
            <rFont val="Tahoma"/>
            <family val="2"/>
          </rPr>
          <t xml:space="preserve">
hoteis e bilhares</t>
        </r>
      </text>
    </comment>
    <comment ref="D59" authorId="0" shapeId="0">
      <text>
        <r>
          <rPr>
            <b/>
            <sz val="8"/>
            <color indexed="81"/>
            <rFont val="Tahoma"/>
            <family val="2"/>
          </rPr>
          <t>Author:</t>
        </r>
        <r>
          <rPr>
            <sz val="8"/>
            <color indexed="81"/>
            <rFont val="Tahoma"/>
            <family val="2"/>
          </rPr>
          <t xml:space="preserve">
12% procurador</t>
        </r>
      </text>
    </comment>
    <comment ref="F59" authorId="0" shapeId="0">
      <text>
        <r>
          <rPr>
            <b/>
            <sz val="8"/>
            <color indexed="81"/>
            <rFont val="Tahoma"/>
            <family val="2"/>
          </rPr>
          <t>Author:</t>
        </r>
        <r>
          <rPr>
            <sz val="8"/>
            <color indexed="81"/>
            <rFont val="Tahoma"/>
            <family val="2"/>
          </rPr>
          <t xml:space="preserve">
12% procurador</t>
        </r>
      </text>
    </comment>
    <comment ref="G59" authorId="0" shapeId="0">
      <text>
        <r>
          <rPr>
            <b/>
            <sz val="8"/>
            <color indexed="81"/>
            <rFont val="Tahoma"/>
            <family val="2"/>
          </rPr>
          <t>Author:</t>
        </r>
        <r>
          <rPr>
            <sz val="8"/>
            <color indexed="81"/>
            <rFont val="Tahoma"/>
            <family val="2"/>
          </rPr>
          <t xml:space="preserve">
12% procurador</t>
        </r>
      </text>
    </comment>
    <comment ref="I63" authorId="0" shapeId="0">
      <text>
        <r>
          <rPr>
            <b/>
            <sz val="8"/>
            <color indexed="81"/>
            <rFont val="Tahoma"/>
            <family val="2"/>
          </rPr>
          <t>Author:</t>
        </r>
        <r>
          <rPr>
            <sz val="8"/>
            <color indexed="81"/>
            <rFont val="Tahoma"/>
            <family val="2"/>
          </rPr>
          <t xml:space="preserve">
gratificacao of 100$000, percentage of 793$020 (12%)</t>
        </r>
      </text>
    </comment>
    <comment ref="J63" authorId="0" shapeId="0">
      <text>
        <r>
          <rPr>
            <b/>
            <sz val="8"/>
            <color indexed="81"/>
            <rFont val="Tahoma"/>
            <family val="2"/>
          </rPr>
          <t>Author:</t>
        </r>
        <r>
          <rPr>
            <sz val="8"/>
            <color indexed="81"/>
            <rFont val="Tahoma"/>
            <family val="2"/>
          </rPr>
          <t xml:space="preserve">
 (12%)</t>
        </r>
      </text>
    </comment>
    <comment ref="A77" authorId="0" shapeId="0">
      <text>
        <r>
          <rPr>
            <b/>
            <sz val="9"/>
            <color indexed="81"/>
            <rFont val="Tahoma"/>
            <family val="2"/>
          </rPr>
          <t>Author:</t>
        </r>
        <r>
          <rPr>
            <sz val="9"/>
            <color indexed="81"/>
            <rFont val="Tahoma"/>
            <family val="2"/>
          </rPr>
          <t xml:space="preserve">
The municipality was obliged to pay half costs of proceedings of poor defendants when they are acquitted.  The state was obligated to pay half costs of the proceedings of poor defendants when they were found guilty.</t>
        </r>
      </text>
    </comment>
    <comment ref="C87" authorId="0" shapeId="0">
      <text>
        <r>
          <rPr>
            <b/>
            <sz val="8"/>
            <color indexed="81"/>
            <rFont val="Tahoma"/>
            <family val="2"/>
          </rPr>
          <t>Author:</t>
        </r>
        <r>
          <rPr>
            <sz val="8"/>
            <color indexed="81"/>
            <rFont val="Tahoma"/>
            <family val="2"/>
          </rPr>
          <t xml:space="preserve">
balance sheet just shows "salaries and other expenses 1,462$420" so I used the estimated salaries and made the difference be all other expenditures.</t>
        </r>
      </text>
    </comment>
  </commentList>
</comments>
</file>

<file path=xl/comments6.xml><?xml version="1.0" encoding="utf-8"?>
<comments xmlns="http://schemas.openxmlformats.org/spreadsheetml/2006/main">
  <authors>
    <author>Author</author>
  </authors>
  <commentList>
    <comment ref="B4" authorId="0" shapeId="0">
      <text>
        <r>
          <rPr>
            <b/>
            <sz val="8"/>
            <color indexed="81"/>
            <rFont val="Tahoma"/>
            <family val="2"/>
          </rPr>
          <t>Author:</t>
        </r>
        <r>
          <rPr>
            <sz val="8"/>
            <color indexed="81"/>
            <rFont val="Tahoma"/>
            <family val="2"/>
          </rPr>
          <t xml:space="preserve">
1 October to 30 September</t>
        </r>
      </text>
    </comment>
    <comment ref="C4" authorId="0" shapeId="0">
      <text>
        <r>
          <rPr>
            <b/>
            <sz val="8"/>
            <color indexed="81"/>
            <rFont val="Tahoma"/>
            <family val="2"/>
          </rPr>
          <t>Author:</t>
        </r>
        <r>
          <rPr>
            <sz val="8"/>
            <color indexed="81"/>
            <rFont val="Tahoma"/>
            <family val="2"/>
          </rPr>
          <t xml:space="preserve">
1 October to 30 September</t>
        </r>
      </text>
    </comment>
    <comment ref="F4" authorId="0" shapeId="0">
      <text>
        <r>
          <rPr>
            <b/>
            <sz val="8"/>
            <color indexed="81"/>
            <rFont val="Tahoma"/>
            <family val="2"/>
          </rPr>
          <t>Author:</t>
        </r>
        <r>
          <rPr>
            <sz val="8"/>
            <color indexed="81"/>
            <rFont val="Tahoma"/>
            <family val="2"/>
          </rPr>
          <t xml:space="preserve">
1 October to 30 September</t>
        </r>
      </text>
    </comment>
    <comment ref="K4" authorId="0" shapeId="0">
      <text>
        <r>
          <rPr>
            <b/>
            <sz val="8"/>
            <color indexed="81"/>
            <rFont val="Tahoma"/>
            <family val="2"/>
          </rPr>
          <t>Author:</t>
        </r>
        <r>
          <rPr>
            <sz val="8"/>
            <color indexed="81"/>
            <rFont val="Tahoma"/>
            <family val="2"/>
          </rPr>
          <t xml:space="preserve">
6 Jan 1855 to 6 Jan 1856</t>
        </r>
      </text>
    </comment>
    <comment ref="L4" authorId="0" shapeId="0">
      <text>
        <r>
          <rPr>
            <b/>
            <sz val="8"/>
            <color indexed="81"/>
            <rFont val="Tahoma"/>
            <family val="2"/>
          </rPr>
          <t>Author:</t>
        </r>
        <r>
          <rPr>
            <sz val="8"/>
            <color indexed="81"/>
            <rFont val="Tahoma"/>
            <family val="2"/>
          </rPr>
          <t xml:space="preserve">
6 Jan 1856-6 Jan 1857</t>
        </r>
      </text>
    </comment>
    <comment ref="N4" authorId="0" shapeId="0">
      <text>
        <r>
          <rPr>
            <b/>
            <sz val="8"/>
            <color indexed="81"/>
            <rFont val="Tahoma"/>
            <family val="2"/>
          </rPr>
          <t>Author:</t>
        </r>
        <r>
          <rPr>
            <sz val="8"/>
            <color indexed="81"/>
            <rFont val="Tahoma"/>
            <family val="2"/>
          </rPr>
          <t xml:space="preserve">
1 Jan 1858 to 7 Jan 1859</t>
        </r>
      </text>
    </comment>
    <comment ref="Q4" authorId="0" shapeId="0">
      <text>
        <r>
          <rPr>
            <b/>
            <sz val="8"/>
            <color indexed="81"/>
            <rFont val="Tahoma"/>
            <family val="2"/>
          </rPr>
          <t>Author:</t>
        </r>
        <r>
          <rPr>
            <sz val="8"/>
            <color indexed="81"/>
            <rFont val="Tahoma"/>
            <family val="2"/>
          </rPr>
          <t xml:space="preserve">
7 Jan 1861-7 Jan 1862</t>
        </r>
      </text>
    </comment>
    <comment ref="AB5" authorId="0" shapeId="0">
      <text>
        <r>
          <rPr>
            <b/>
            <sz val="8"/>
            <color indexed="81"/>
            <rFont val="Tahoma"/>
            <family val="2"/>
          </rPr>
          <t>Author:</t>
        </r>
        <r>
          <rPr>
            <sz val="8"/>
            <color indexed="81"/>
            <rFont val="Tahoma"/>
            <family val="2"/>
          </rPr>
          <t xml:space="preserve">
no day of the month, but month and year are recorded. </t>
        </r>
      </text>
    </comment>
    <comment ref="R8" authorId="0" shapeId="0">
      <text>
        <r>
          <rPr>
            <b/>
            <sz val="8"/>
            <color indexed="81"/>
            <rFont val="Tahoma"/>
            <family val="2"/>
          </rPr>
          <t>Author:</t>
        </r>
        <r>
          <rPr>
            <sz val="8"/>
            <color indexed="81"/>
            <rFont val="Tahoma"/>
            <family val="2"/>
          </rPr>
          <t xml:space="preserve">
includes divida do cofre provincial</t>
        </r>
      </text>
    </comment>
    <comment ref="U8" authorId="0" shapeId="0">
      <text>
        <r>
          <rPr>
            <b/>
            <sz val="8"/>
            <color indexed="81"/>
            <rFont val="Tahoma"/>
            <family val="2"/>
          </rPr>
          <t>Author:</t>
        </r>
        <r>
          <rPr>
            <sz val="8"/>
            <color indexed="81"/>
            <rFont val="Tahoma"/>
            <family val="2"/>
          </rPr>
          <t xml:space="preserve">
1863-1864</t>
        </r>
      </text>
    </comment>
    <comment ref="Z8" authorId="0" shapeId="0">
      <text>
        <r>
          <rPr>
            <b/>
            <sz val="8"/>
            <color indexed="81"/>
            <rFont val="Tahoma"/>
            <family val="2"/>
          </rPr>
          <t>Author:</t>
        </r>
        <r>
          <rPr>
            <sz val="8"/>
            <color indexed="81"/>
            <rFont val="Tahoma"/>
            <family val="2"/>
          </rPr>
          <t xml:space="preserve">
1868-1869</t>
        </r>
      </text>
    </comment>
    <comment ref="AB8" authorId="0" shapeId="0">
      <text>
        <r>
          <rPr>
            <b/>
            <sz val="8"/>
            <color indexed="81"/>
            <rFont val="Tahoma"/>
            <family val="2"/>
          </rPr>
          <t>Author:</t>
        </r>
        <r>
          <rPr>
            <sz val="8"/>
            <color indexed="81"/>
            <rFont val="Tahoma"/>
            <family val="2"/>
          </rPr>
          <t xml:space="preserve">
1870-1871</t>
        </r>
      </text>
    </comment>
    <comment ref="AC8" authorId="0" shapeId="0">
      <text>
        <r>
          <rPr>
            <b/>
            <sz val="8"/>
            <color indexed="81"/>
            <rFont val="Tahoma"/>
            <family val="2"/>
          </rPr>
          <t>Author:</t>
        </r>
        <r>
          <rPr>
            <sz val="8"/>
            <color indexed="81"/>
            <rFont val="Tahoma"/>
            <family val="2"/>
          </rPr>
          <t xml:space="preserve">
from 1871/1872</t>
        </r>
      </text>
    </comment>
    <comment ref="AF8" authorId="0" shapeId="0">
      <text>
        <r>
          <rPr>
            <b/>
            <sz val="8"/>
            <color indexed="81"/>
            <rFont val="Tahoma"/>
            <family val="2"/>
          </rPr>
          <t>Author:</t>
        </r>
        <r>
          <rPr>
            <sz val="8"/>
            <color indexed="81"/>
            <rFont val="Tahoma"/>
            <family val="2"/>
          </rPr>
          <t xml:space="preserve">
from 1873-74</t>
        </r>
      </text>
    </comment>
    <comment ref="AG8" authorId="0" shapeId="0">
      <text>
        <r>
          <rPr>
            <b/>
            <sz val="8"/>
            <color indexed="81"/>
            <rFont val="Tahoma"/>
            <family val="2"/>
          </rPr>
          <t>Author:</t>
        </r>
        <r>
          <rPr>
            <sz val="8"/>
            <color indexed="81"/>
            <rFont val="Tahoma"/>
            <family val="2"/>
          </rPr>
          <t xml:space="preserve">
from 1875-1876</t>
        </r>
      </text>
    </comment>
    <comment ref="W17" authorId="0" shapeId="0">
      <text>
        <r>
          <rPr>
            <b/>
            <sz val="8"/>
            <color indexed="81"/>
            <rFont val="Tahoma"/>
            <family val="2"/>
          </rPr>
          <t>Author:</t>
        </r>
        <r>
          <rPr>
            <sz val="8"/>
            <color indexed="81"/>
            <rFont val="Tahoma"/>
            <family val="2"/>
          </rPr>
          <t xml:space="preserve">
plus portas e janelas</t>
        </r>
      </text>
    </comment>
    <comment ref="Y17" authorId="0" shapeId="0">
      <text>
        <r>
          <rPr>
            <b/>
            <sz val="8"/>
            <color indexed="81"/>
            <rFont val="Tahoma"/>
            <family val="2"/>
          </rPr>
          <t>Author:</t>
        </r>
        <r>
          <rPr>
            <sz val="8"/>
            <color indexed="81"/>
            <rFont val="Tahoma"/>
            <family val="2"/>
          </rPr>
          <t xml:space="preserve">
plus portas e janelas</t>
        </r>
      </text>
    </comment>
    <comment ref="A32" authorId="0" shapeId="0">
      <text>
        <r>
          <rPr>
            <b/>
            <sz val="8"/>
            <color indexed="81"/>
            <rFont val="Tahoma"/>
            <family val="2"/>
          </rPr>
          <t>Author:</t>
        </r>
        <r>
          <rPr>
            <sz val="8"/>
            <color indexed="81"/>
            <rFont val="Tahoma"/>
            <family val="2"/>
          </rPr>
          <t xml:space="preserve">
a series of slides of scenery from various countries observed through an optical device that amplifies the images.  Also, the name of the optical device.</t>
        </r>
      </text>
    </comment>
    <comment ref="AH37" authorId="0" shapeId="0">
      <text>
        <r>
          <rPr>
            <b/>
            <sz val="8"/>
            <color indexed="81"/>
            <rFont val="Tahoma"/>
            <family val="2"/>
          </rPr>
          <t>Author:</t>
        </r>
        <r>
          <rPr>
            <sz val="8"/>
            <color indexed="81"/>
            <rFont val="Tahoma"/>
            <family val="2"/>
          </rPr>
          <t xml:space="preserve">
exposition of monkeys</t>
        </r>
      </text>
    </comment>
    <comment ref="AR38" authorId="0" shapeId="0">
      <text>
        <r>
          <rPr>
            <b/>
            <sz val="8"/>
            <color indexed="81"/>
            <rFont val="Tahoma"/>
            <family val="2"/>
          </rPr>
          <t>Author:</t>
        </r>
        <r>
          <rPr>
            <sz val="8"/>
            <color indexed="81"/>
            <rFont val="Tahoma"/>
            <family val="2"/>
          </rPr>
          <t xml:space="preserve">
fireworks</t>
        </r>
      </text>
    </comment>
    <comment ref="I49" authorId="0" shapeId="0">
      <text>
        <r>
          <rPr>
            <b/>
            <sz val="8"/>
            <color indexed="81"/>
            <rFont val="Tahoma"/>
            <family val="2"/>
          </rPr>
          <t>Author:</t>
        </r>
        <r>
          <rPr>
            <sz val="8"/>
            <color indexed="81"/>
            <rFont val="Tahoma"/>
            <family val="2"/>
          </rPr>
          <t xml:space="preserve">
Rifas (raffles)</t>
        </r>
      </text>
    </comment>
    <comment ref="B52" authorId="0" shapeId="0">
      <text>
        <r>
          <rPr>
            <b/>
            <sz val="8"/>
            <color indexed="81"/>
            <rFont val="Tahoma"/>
            <family val="2"/>
          </rPr>
          <t>Author:</t>
        </r>
        <r>
          <rPr>
            <sz val="8"/>
            <color indexed="81"/>
            <rFont val="Tahoma"/>
            <family val="2"/>
          </rPr>
          <t xml:space="preserve">
licenca para folias (licenses for a celebratory event)</t>
        </r>
      </text>
    </comment>
    <comment ref="C52" authorId="0" shapeId="0">
      <text>
        <r>
          <rPr>
            <b/>
            <sz val="8"/>
            <color indexed="81"/>
            <rFont val="Tahoma"/>
            <family val="2"/>
          </rPr>
          <t>Author:</t>
        </r>
        <r>
          <rPr>
            <sz val="8"/>
            <color indexed="81"/>
            <rFont val="Tahoma"/>
            <family val="2"/>
          </rPr>
          <t xml:space="preserve">
licenca para folias (licenses for a celebratory event)</t>
        </r>
      </text>
    </comment>
    <comment ref="AT57" authorId="0" shapeId="0">
      <text>
        <r>
          <rPr>
            <b/>
            <sz val="8"/>
            <color indexed="81"/>
            <rFont val="Tahoma"/>
            <family val="2"/>
          </rPr>
          <t>Author:</t>
        </r>
        <r>
          <rPr>
            <sz val="8"/>
            <color indexed="81"/>
            <rFont val="Tahoma"/>
            <family val="2"/>
          </rPr>
          <t xml:space="preserve">
includes steam saws ("serras a vapor")</t>
        </r>
      </text>
    </comment>
    <comment ref="B61" authorId="0" shapeId="0">
      <text>
        <r>
          <rPr>
            <b/>
            <sz val="8"/>
            <color indexed="81"/>
            <rFont val="Tahoma"/>
            <family val="2"/>
          </rPr>
          <t>Author:</t>
        </r>
        <r>
          <rPr>
            <sz val="8"/>
            <color indexed="81"/>
            <rFont val="Tahoma"/>
            <family val="2"/>
          </rPr>
          <t xml:space="preserve">
lojas, armazens, tabernas, mascates, e taboleiros; horse races</t>
        </r>
      </text>
    </comment>
    <comment ref="C61" authorId="0" shapeId="0">
      <text>
        <r>
          <rPr>
            <b/>
            <sz val="8"/>
            <color indexed="81"/>
            <rFont val="Tahoma"/>
            <family val="2"/>
          </rPr>
          <t>Author:</t>
        </r>
        <r>
          <rPr>
            <sz val="8"/>
            <color indexed="81"/>
            <rFont val="Tahoma"/>
            <family val="2"/>
          </rPr>
          <t xml:space="preserve">
cabecas, lojas, armazens, tabernas, mascates, e taboleiras; estanque de aguardente, afericoes, licenca para espetaculo</t>
        </r>
      </text>
    </comment>
    <comment ref="F61" authorId="0" shapeId="0">
      <text>
        <r>
          <rPr>
            <b/>
            <sz val="8"/>
            <color indexed="81"/>
            <rFont val="Tahoma"/>
            <family val="2"/>
          </rPr>
          <t>Author:</t>
        </r>
        <r>
          <rPr>
            <sz val="8"/>
            <color indexed="81"/>
            <rFont val="Tahoma"/>
            <family val="2"/>
          </rPr>
          <t xml:space="preserve">
estanque, afericao, e cabecas plus the 6000 tax on agoas ardentes
</t>
        </r>
      </text>
    </comment>
    <comment ref="G61" authorId="0" shapeId="0">
      <text>
        <r>
          <rPr>
            <b/>
            <sz val="8"/>
            <color indexed="81"/>
            <rFont val="Tahoma"/>
            <family val="2"/>
          </rPr>
          <t>Author:</t>
        </r>
        <r>
          <rPr>
            <sz val="8"/>
            <color indexed="81"/>
            <rFont val="Tahoma"/>
            <family val="2"/>
          </rPr>
          <t xml:space="preserve">
licencas a mascates e para espectaculos</t>
        </r>
      </text>
    </comment>
    <comment ref="H61" authorId="0" shapeId="0">
      <text>
        <r>
          <rPr>
            <b/>
            <sz val="8"/>
            <color indexed="81"/>
            <rFont val="Tahoma"/>
            <family val="2"/>
          </rPr>
          <t>Author:</t>
        </r>
        <r>
          <rPr>
            <sz val="8"/>
            <color indexed="81"/>
            <rFont val="Tahoma"/>
            <family val="2"/>
          </rPr>
          <t xml:space="preserve">
Estanque, afericao, novos impostos, licencas diversas</t>
        </r>
      </text>
    </comment>
    <comment ref="I61" authorId="0" shapeId="0">
      <text>
        <r>
          <rPr>
            <b/>
            <sz val="8"/>
            <color indexed="81"/>
            <rFont val="Tahoma"/>
            <family val="2"/>
          </rPr>
          <t>Author:</t>
        </r>
        <r>
          <rPr>
            <sz val="8"/>
            <color indexed="81"/>
            <rFont val="Tahoma"/>
            <family val="2"/>
          </rPr>
          <t xml:space="preserve">
Estanque, afericao, novos impostos, licencas diversas</t>
        </r>
      </text>
    </comment>
    <comment ref="J61" authorId="0" shapeId="0">
      <text>
        <r>
          <rPr>
            <b/>
            <sz val="8"/>
            <color indexed="81"/>
            <rFont val="Tahoma"/>
            <family val="2"/>
          </rPr>
          <t>Author:</t>
        </r>
        <r>
          <rPr>
            <sz val="8"/>
            <color indexed="81"/>
            <rFont val="Tahoma"/>
            <family val="2"/>
          </rPr>
          <t xml:space="preserve">
Estanque, afericao, novos impostos, licencas diversas</t>
        </r>
      </text>
    </comment>
    <comment ref="K61" authorId="0" shapeId="0">
      <text>
        <r>
          <rPr>
            <b/>
            <sz val="8"/>
            <color indexed="81"/>
            <rFont val="Tahoma"/>
            <family val="2"/>
          </rPr>
          <t>Author:</t>
        </r>
        <r>
          <rPr>
            <sz val="8"/>
            <color indexed="81"/>
            <rFont val="Tahoma"/>
            <family val="2"/>
          </rPr>
          <t xml:space="preserve">
Estanque, afericao, novos impostos, licencas diversas</t>
        </r>
      </text>
    </comment>
    <comment ref="L61" authorId="0" shapeId="0">
      <text>
        <r>
          <rPr>
            <b/>
            <sz val="8"/>
            <color indexed="81"/>
            <rFont val="Tahoma"/>
            <family val="2"/>
          </rPr>
          <t>Author:</t>
        </r>
        <r>
          <rPr>
            <sz val="8"/>
            <color indexed="81"/>
            <rFont val="Tahoma"/>
            <family val="2"/>
          </rPr>
          <t xml:space="preserve">
Estanque, afericao, novos impostos, licencas diversas</t>
        </r>
      </text>
    </comment>
    <comment ref="AD61" authorId="0" shapeId="0">
      <text>
        <r>
          <rPr>
            <b/>
            <sz val="8"/>
            <color indexed="81"/>
            <rFont val="Tahoma"/>
            <family val="2"/>
          </rPr>
          <t>Author:</t>
        </r>
        <r>
          <rPr>
            <sz val="8"/>
            <color indexed="81"/>
            <rFont val="Tahoma"/>
            <family val="2"/>
          </rPr>
          <t xml:space="preserve">
secos, hoteis, parys, oficinas, e venda de escravos; pastos e casas de aluguel; caes e armadores
</t>
        </r>
      </text>
    </comment>
    <comment ref="AF61" authorId="0" shapeId="0">
      <text>
        <r>
          <rPr>
            <b/>
            <sz val="8"/>
            <color indexed="81"/>
            <rFont val="Tahoma"/>
            <family val="2"/>
          </rPr>
          <t>Author:</t>
        </r>
        <r>
          <rPr>
            <sz val="8"/>
            <color indexed="81"/>
            <rFont val="Tahoma"/>
            <family val="2"/>
          </rPr>
          <t xml:space="preserve">
casa de aluguel, de comissao, muros; vacas, cabras, caes, e renda do mercado; carros, carrocas, e cargueiros de aguardente</t>
        </r>
      </text>
    </comment>
    <comment ref="AJ61" authorId="0" shapeId="0">
      <text>
        <r>
          <rPr>
            <b/>
            <sz val="9"/>
            <color indexed="81"/>
            <rFont val="Tahoma"/>
            <family val="2"/>
          </rPr>
          <t>Author:</t>
        </r>
        <r>
          <rPr>
            <sz val="9"/>
            <color indexed="81"/>
            <rFont val="Tahoma"/>
            <family val="2"/>
          </rPr>
          <t xml:space="preserve">
seileiro, colcheiro, de ferriso, latoeiro, alfaiate, serralheiro, marcineiro, de toly e carrocos; imposto sobre caes perdigueiro, illeg, e rateiros; imposto sobre exposicao de macacos; sobre armadores de galas e jneivas
</t>
        </r>
      </text>
    </comment>
    <comment ref="AE65" authorId="0" shapeId="0">
      <text>
        <r>
          <rPr>
            <b/>
            <sz val="8"/>
            <color indexed="81"/>
            <rFont val="Tahoma"/>
            <family val="2"/>
          </rPr>
          <t>Author:</t>
        </r>
        <r>
          <rPr>
            <sz val="8"/>
            <color indexed="81"/>
            <rFont val="Tahoma"/>
            <family val="2"/>
          </rPr>
          <t xml:space="preserve">
officinas, cocheiras, trolys, e pastos de aluguel</t>
        </r>
      </text>
    </comment>
    <comment ref="AF65" authorId="0" shapeId="0">
      <text>
        <r>
          <rPr>
            <b/>
            <sz val="8"/>
            <color indexed="81"/>
            <rFont val="Tahoma"/>
            <family val="2"/>
          </rPr>
          <t>Author:</t>
        </r>
        <r>
          <rPr>
            <sz val="8"/>
            <color indexed="81"/>
            <rFont val="Tahoma"/>
            <family val="2"/>
          </rPr>
          <t xml:space="preserve">
officinas, cocheiras, trolys, e pastos de aluguel</t>
        </r>
      </text>
    </comment>
    <comment ref="AC71" authorId="0" shapeId="0">
      <text>
        <r>
          <rPr>
            <b/>
            <sz val="8"/>
            <color indexed="81"/>
            <rFont val="Tahoma"/>
            <family val="2"/>
          </rPr>
          <t>Author:</t>
        </r>
        <r>
          <rPr>
            <sz val="8"/>
            <color indexed="81"/>
            <rFont val="Tahoma"/>
            <family val="2"/>
          </rPr>
          <t xml:space="preserve">
drogas, boticas e officinas</t>
        </r>
      </text>
    </comment>
    <comment ref="Z72" authorId="0" shapeId="0">
      <text>
        <r>
          <rPr>
            <b/>
            <sz val="8"/>
            <color indexed="81"/>
            <rFont val="Tahoma"/>
            <family val="2"/>
          </rPr>
          <t>Author:</t>
        </r>
        <r>
          <rPr>
            <sz val="8"/>
            <color indexed="81"/>
            <rFont val="Tahoma"/>
            <family val="2"/>
          </rPr>
          <t xml:space="preserve">
1868-1869</t>
        </r>
      </text>
    </comment>
    <comment ref="AJ76" authorId="0" shapeId="0">
      <text>
        <r>
          <rPr>
            <b/>
            <sz val="9"/>
            <color indexed="81"/>
            <rFont val="Tahoma"/>
            <family val="2"/>
          </rPr>
          <t>Author:</t>
        </r>
        <r>
          <rPr>
            <sz val="9"/>
            <color indexed="81"/>
            <rFont val="Tahoma"/>
            <family val="2"/>
          </rPr>
          <t xml:space="preserve">
casas de aluguel
</t>
        </r>
      </text>
    </comment>
    <comment ref="K77" authorId="0" shapeId="0">
      <text>
        <r>
          <rPr>
            <b/>
            <sz val="8"/>
            <color indexed="81"/>
            <rFont val="Tahoma"/>
            <family val="2"/>
          </rPr>
          <t>Author:</t>
        </r>
        <r>
          <rPr>
            <sz val="8"/>
            <color indexed="81"/>
            <rFont val="Tahoma"/>
            <family val="2"/>
          </rPr>
          <t xml:space="preserve">
160 reis each</t>
        </r>
      </text>
    </comment>
    <comment ref="L77" authorId="0" shapeId="0">
      <text>
        <r>
          <rPr>
            <b/>
            <sz val="8"/>
            <color indexed="81"/>
            <rFont val="Tahoma"/>
            <family val="2"/>
          </rPr>
          <t>Author:</t>
        </r>
        <r>
          <rPr>
            <sz val="8"/>
            <color indexed="81"/>
            <rFont val="Tahoma"/>
            <family val="2"/>
          </rPr>
          <t xml:space="preserve">
262 head</t>
        </r>
      </text>
    </comment>
    <comment ref="AH77" authorId="0" shapeId="0">
      <text>
        <r>
          <rPr>
            <b/>
            <sz val="8"/>
            <color indexed="81"/>
            <rFont val="Tahoma"/>
            <family val="2"/>
          </rPr>
          <t>Author:</t>
        </r>
        <r>
          <rPr>
            <sz val="8"/>
            <color indexed="81"/>
            <rFont val="Tahoma"/>
            <family val="2"/>
          </rPr>
          <t xml:space="preserve">
porcos + rezes</t>
        </r>
      </text>
    </comment>
    <comment ref="AJ82" authorId="0" shapeId="0">
      <text>
        <r>
          <rPr>
            <b/>
            <sz val="9"/>
            <color indexed="81"/>
            <rFont val="Tahoma"/>
            <family val="2"/>
          </rPr>
          <t>Author:</t>
        </r>
        <r>
          <rPr>
            <sz val="9"/>
            <color indexed="81"/>
            <rFont val="Tahoma"/>
            <family val="2"/>
          </rPr>
          <t xml:space="preserve">
carros, trolys, pastos de aluguel e cocheiiras</t>
        </r>
      </text>
    </comment>
    <comment ref="S100" authorId="0" shapeId="0">
      <text>
        <r>
          <rPr>
            <b/>
            <sz val="8"/>
            <color indexed="81"/>
            <rFont val="Tahoma"/>
            <family val="2"/>
          </rPr>
          <t>Author:</t>
        </r>
        <r>
          <rPr>
            <sz val="8"/>
            <color indexed="81"/>
            <rFont val="Tahoma"/>
            <family val="2"/>
          </rPr>
          <t xml:space="preserve">
includes 50$000 from Colletoria desta Cidade to repair a bridge.</t>
        </r>
      </text>
    </comment>
    <comment ref="B113" authorId="0" shapeId="0">
      <text>
        <r>
          <rPr>
            <b/>
            <sz val="8"/>
            <color indexed="81"/>
            <rFont val="Tahoma"/>
            <family val="2"/>
          </rPr>
          <t>Author:</t>
        </r>
        <r>
          <rPr>
            <sz val="8"/>
            <color indexed="81"/>
            <rFont val="Tahoma"/>
            <family val="2"/>
          </rPr>
          <t xml:space="preserve">
1 October to 30 September</t>
        </r>
      </text>
    </comment>
    <comment ref="C113" authorId="0" shapeId="0">
      <text>
        <r>
          <rPr>
            <b/>
            <sz val="8"/>
            <color indexed="81"/>
            <rFont val="Tahoma"/>
            <family val="2"/>
          </rPr>
          <t>Author:</t>
        </r>
        <r>
          <rPr>
            <sz val="8"/>
            <color indexed="81"/>
            <rFont val="Tahoma"/>
            <family val="2"/>
          </rPr>
          <t xml:space="preserve">
1 October to 30 September</t>
        </r>
      </text>
    </comment>
    <comment ref="F113" authorId="0" shapeId="0">
      <text>
        <r>
          <rPr>
            <b/>
            <sz val="8"/>
            <color indexed="81"/>
            <rFont val="Tahoma"/>
            <family val="2"/>
          </rPr>
          <t>Author:</t>
        </r>
        <r>
          <rPr>
            <sz val="8"/>
            <color indexed="81"/>
            <rFont val="Tahoma"/>
            <family val="2"/>
          </rPr>
          <t xml:space="preserve">
1 October to 30 September</t>
        </r>
      </text>
    </comment>
    <comment ref="K113" authorId="0" shapeId="0">
      <text>
        <r>
          <rPr>
            <b/>
            <sz val="8"/>
            <color indexed="81"/>
            <rFont val="Tahoma"/>
            <family val="2"/>
          </rPr>
          <t>Author:</t>
        </r>
        <r>
          <rPr>
            <sz val="8"/>
            <color indexed="81"/>
            <rFont val="Tahoma"/>
            <family val="2"/>
          </rPr>
          <t xml:space="preserve">
6 Jan 1855 to 6 Jan 1856</t>
        </r>
      </text>
    </comment>
    <comment ref="L113" authorId="0" shapeId="0">
      <text>
        <r>
          <rPr>
            <b/>
            <sz val="8"/>
            <color indexed="81"/>
            <rFont val="Tahoma"/>
            <family val="2"/>
          </rPr>
          <t>Author:</t>
        </r>
        <r>
          <rPr>
            <sz val="8"/>
            <color indexed="81"/>
            <rFont val="Tahoma"/>
            <family val="2"/>
          </rPr>
          <t xml:space="preserve">
6 Jan 1856-6 Jan 1857</t>
        </r>
      </text>
    </comment>
    <comment ref="Q113" authorId="0" shapeId="0">
      <text>
        <r>
          <rPr>
            <b/>
            <sz val="8"/>
            <color indexed="81"/>
            <rFont val="Tahoma"/>
            <family val="2"/>
          </rPr>
          <t>Author:</t>
        </r>
        <r>
          <rPr>
            <sz val="8"/>
            <color indexed="81"/>
            <rFont val="Tahoma"/>
            <family val="2"/>
          </rPr>
          <t xml:space="preserve">
7 Jan 1861-7 Jan 1862</t>
        </r>
      </text>
    </comment>
    <comment ref="AB114" authorId="0" shapeId="0">
      <text>
        <r>
          <rPr>
            <b/>
            <sz val="8"/>
            <color indexed="81"/>
            <rFont val="Tahoma"/>
            <family val="2"/>
          </rPr>
          <t>Author:</t>
        </r>
        <r>
          <rPr>
            <sz val="8"/>
            <color indexed="81"/>
            <rFont val="Tahoma"/>
            <family val="2"/>
          </rPr>
          <t xml:space="preserve">
no day of the month, but month and year are recorded. </t>
        </r>
      </text>
    </comment>
    <comment ref="AN124" authorId="0" shapeId="0">
      <text>
        <r>
          <rPr>
            <b/>
            <sz val="8"/>
            <color indexed="81"/>
            <rFont val="Tahoma"/>
            <family val="2"/>
          </rPr>
          <t>Author:</t>
        </r>
        <r>
          <rPr>
            <sz val="8"/>
            <color indexed="81"/>
            <rFont val="Tahoma"/>
            <family val="2"/>
          </rPr>
          <t xml:space="preserve">
6$ of this is the bonus for the Itaquery fiscal</t>
        </r>
      </text>
    </comment>
    <comment ref="I125" authorId="0" shapeId="0">
      <text>
        <r>
          <rPr>
            <b/>
            <sz val="8"/>
            <color indexed="81"/>
            <rFont val="Tahoma"/>
            <family val="2"/>
          </rPr>
          <t>Author:</t>
        </r>
        <r>
          <rPr>
            <sz val="8"/>
            <color indexed="81"/>
            <rFont val="Tahoma"/>
            <family val="2"/>
          </rPr>
          <t xml:space="preserve">
deixou de pagar 15$590</t>
        </r>
      </text>
    </comment>
    <comment ref="I130" authorId="0" shapeId="0">
      <text>
        <r>
          <rPr>
            <b/>
            <sz val="8"/>
            <color indexed="81"/>
            <rFont val="Tahoma"/>
            <family val="2"/>
          </rPr>
          <t>Author:</t>
        </r>
        <r>
          <rPr>
            <sz val="8"/>
            <color indexed="81"/>
            <rFont val="Tahoma"/>
            <family val="2"/>
          </rPr>
          <t xml:space="preserve">
deixou de pagar 6$000</t>
        </r>
      </text>
    </comment>
    <comment ref="C131" authorId="0" shapeId="0">
      <text>
        <r>
          <rPr>
            <b/>
            <sz val="8"/>
            <color indexed="81"/>
            <rFont val="Tahoma"/>
            <family val="2"/>
          </rPr>
          <t>Author:</t>
        </r>
        <r>
          <rPr>
            <sz val="8"/>
            <color indexed="81"/>
            <rFont val="Tahoma"/>
            <family val="2"/>
          </rPr>
          <t xml:space="preserve">
includes eventuais</t>
        </r>
      </text>
    </comment>
    <comment ref="K131" authorId="0" shapeId="0">
      <text>
        <r>
          <rPr>
            <b/>
            <sz val="8"/>
            <color indexed="81"/>
            <rFont val="Tahoma"/>
            <family val="2"/>
          </rPr>
          <t>Author:</t>
        </r>
        <r>
          <rPr>
            <sz val="8"/>
            <color indexed="81"/>
            <rFont val="Tahoma"/>
            <family val="2"/>
          </rPr>
          <t xml:space="preserve">
12%</t>
        </r>
      </text>
    </comment>
    <comment ref="Q131" authorId="0" shapeId="0">
      <text>
        <r>
          <rPr>
            <b/>
            <sz val="8"/>
            <color indexed="81"/>
            <rFont val="Tahoma"/>
            <family val="2"/>
          </rPr>
          <t>Author:</t>
        </r>
        <r>
          <rPr>
            <sz val="8"/>
            <color indexed="81"/>
            <rFont val="Tahoma"/>
            <family val="2"/>
          </rPr>
          <t xml:space="preserve">
12%</t>
        </r>
      </text>
    </comment>
    <comment ref="S131" authorId="0" shapeId="0">
      <text>
        <r>
          <rPr>
            <b/>
            <sz val="8"/>
            <color indexed="81"/>
            <rFont val="Tahoma"/>
            <family val="2"/>
          </rPr>
          <t>Author:</t>
        </r>
        <r>
          <rPr>
            <sz val="8"/>
            <color indexed="81"/>
            <rFont val="Tahoma"/>
            <family val="2"/>
          </rPr>
          <t xml:space="preserve">
12%</t>
        </r>
      </text>
    </comment>
    <comment ref="Z131" authorId="0" shapeId="0">
      <text>
        <r>
          <rPr>
            <b/>
            <sz val="8"/>
            <color indexed="81"/>
            <rFont val="Tahoma"/>
            <family val="2"/>
          </rPr>
          <t>Author:</t>
        </r>
        <r>
          <rPr>
            <sz val="8"/>
            <color indexed="81"/>
            <rFont val="Tahoma"/>
            <family val="2"/>
          </rPr>
          <t xml:space="preserve">
12%</t>
        </r>
      </text>
    </comment>
    <comment ref="AC131" authorId="0" shapeId="0">
      <text>
        <r>
          <rPr>
            <b/>
            <sz val="8"/>
            <color indexed="81"/>
            <rFont val="Tahoma"/>
            <family val="2"/>
          </rPr>
          <t>Author:</t>
        </r>
        <r>
          <rPr>
            <sz val="8"/>
            <color indexed="81"/>
            <rFont val="Tahoma"/>
            <family val="2"/>
          </rPr>
          <t xml:space="preserve">
12%</t>
        </r>
      </text>
    </comment>
    <comment ref="AE131" authorId="0" shapeId="0">
      <text>
        <r>
          <rPr>
            <b/>
            <sz val="8"/>
            <color indexed="81"/>
            <rFont val="Tahoma"/>
            <family val="2"/>
          </rPr>
          <t>Author:</t>
        </r>
        <r>
          <rPr>
            <sz val="8"/>
            <color indexed="81"/>
            <rFont val="Tahoma"/>
            <family val="2"/>
          </rPr>
          <t xml:space="preserve">
12%</t>
        </r>
      </text>
    </comment>
    <comment ref="AF131" authorId="0" shapeId="0">
      <text>
        <r>
          <rPr>
            <b/>
            <sz val="8"/>
            <color indexed="81"/>
            <rFont val="Tahoma"/>
            <family val="2"/>
          </rPr>
          <t>Author:</t>
        </r>
        <r>
          <rPr>
            <sz val="8"/>
            <color indexed="81"/>
            <rFont val="Tahoma"/>
            <family val="2"/>
          </rPr>
          <t xml:space="preserve">
12%</t>
        </r>
      </text>
    </comment>
    <comment ref="AG131" authorId="0" shapeId="0">
      <text>
        <r>
          <rPr>
            <b/>
            <sz val="8"/>
            <color indexed="81"/>
            <rFont val="Tahoma"/>
            <family val="2"/>
          </rPr>
          <t>Author:</t>
        </r>
        <r>
          <rPr>
            <sz val="8"/>
            <color indexed="81"/>
            <rFont val="Tahoma"/>
            <family val="2"/>
          </rPr>
          <t xml:space="preserve">
12%</t>
        </r>
      </text>
    </comment>
    <comment ref="AH131" authorId="0" shapeId="0">
      <text>
        <r>
          <rPr>
            <b/>
            <sz val="8"/>
            <color indexed="81"/>
            <rFont val="Tahoma"/>
            <family val="2"/>
          </rPr>
          <t>Author:</t>
        </r>
        <r>
          <rPr>
            <sz val="8"/>
            <color indexed="81"/>
            <rFont val="Tahoma"/>
            <family val="2"/>
          </rPr>
          <t xml:space="preserve">
12%</t>
        </r>
      </text>
    </comment>
    <comment ref="AI131" authorId="0" shapeId="0">
      <text>
        <r>
          <rPr>
            <b/>
            <sz val="8"/>
            <color indexed="81"/>
            <rFont val="Tahoma"/>
            <family val="2"/>
          </rPr>
          <t>Author:</t>
        </r>
        <r>
          <rPr>
            <sz val="8"/>
            <color indexed="81"/>
            <rFont val="Tahoma"/>
            <family val="2"/>
          </rPr>
          <t xml:space="preserve">
12%</t>
        </r>
      </text>
    </comment>
    <comment ref="AJ131" authorId="0" shapeId="0">
      <text>
        <r>
          <rPr>
            <b/>
            <sz val="8"/>
            <color indexed="81"/>
            <rFont val="Tahoma"/>
            <family val="2"/>
          </rPr>
          <t>Author:</t>
        </r>
        <r>
          <rPr>
            <sz val="8"/>
            <color indexed="81"/>
            <rFont val="Tahoma"/>
            <family val="2"/>
          </rPr>
          <t xml:space="preserve">
12%</t>
        </r>
      </text>
    </comment>
    <comment ref="AK131" authorId="0" shapeId="0">
      <text>
        <r>
          <rPr>
            <b/>
            <sz val="8"/>
            <color indexed="81"/>
            <rFont val="Tahoma"/>
            <family val="2"/>
          </rPr>
          <t>Author:</t>
        </r>
        <r>
          <rPr>
            <sz val="8"/>
            <color indexed="81"/>
            <rFont val="Tahoma"/>
            <family val="2"/>
          </rPr>
          <t xml:space="preserve">
12%</t>
        </r>
      </text>
    </comment>
    <comment ref="AL131" authorId="0" shapeId="0">
      <text>
        <r>
          <rPr>
            <b/>
            <sz val="8"/>
            <color indexed="81"/>
            <rFont val="Tahoma"/>
            <family val="2"/>
          </rPr>
          <t>Author:</t>
        </r>
        <r>
          <rPr>
            <sz val="8"/>
            <color indexed="81"/>
            <rFont val="Tahoma"/>
            <family val="2"/>
          </rPr>
          <t xml:space="preserve">
12%</t>
        </r>
      </text>
    </comment>
    <comment ref="AR131" authorId="0" shapeId="0">
      <text>
        <r>
          <rPr>
            <b/>
            <sz val="8"/>
            <color indexed="81"/>
            <rFont val="Tahoma"/>
            <family val="2"/>
          </rPr>
          <t>Author:</t>
        </r>
        <r>
          <rPr>
            <sz val="8"/>
            <color indexed="81"/>
            <rFont val="Tahoma"/>
            <family val="2"/>
          </rPr>
          <t xml:space="preserve">
10%</t>
        </r>
      </text>
    </comment>
    <comment ref="AT131" authorId="0" shapeId="0">
      <text>
        <r>
          <rPr>
            <b/>
            <sz val="8"/>
            <color indexed="81"/>
            <rFont val="Tahoma"/>
            <family val="2"/>
          </rPr>
          <t>Author:</t>
        </r>
        <r>
          <rPr>
            <sz val="8"/>
            <color indexed="81"/>
            <rFont val="Tahoma"/>
            <family val="2"/>
          </rPr>
          <t xml:space="preserve">
10%</t>
        </r>
      </text>
    </comment>
    <comment ref="M138" authorId="0" shapeId="0">
      <text>
        <r>
          <rPr>
            <b/>
            <sz val="8"/>
            <color indexed="81"/>
            <rFont val="Tahoma"/>
            <family val="2"/>
          </rPr>
          <t>Author:</t>
        </r>
        <r>
          <rPr>
            <sz val="8"/>
            <color indexed="81"/>
            <rFont val="Tahoma"/>
            <family val="2"/>
          </rPr>
          <t xml:space="preserve">
encanamento de agua com o saldo anterior.  It is possible they used balances for special projects?</t>
        </r>
      </text>
    </comment>
    <comment ref="T142" authorId="0" shapeId="0">
      <text>
        <r>
          <rPr>
            <b/>
            <sz val="8"/>
            <color indexed="81"/>
            <rFont val="Tahoma"/>
            <family val="2"/>
          </rPr>
          <t>Author:</t>
        </r>
        <r>
          <rPr>
            <sz val="8"/>
            <color indexed="81"/>
            <rFont val="Tahoma"/>
            <family val="2"/>
          </rPr>
          <t xml:space="preserve">
719$264 was to treat small pox victims
</t>
        </r>
      </text>
    </comment>
    <comment ref="F143" authorId="0" shapeId="0">
      <text>
        <r>
          <rPr>
            <b/>
            <sz val="9"/>
            <color indexed="81"/>
            <rFont val="Tahoma"/>
            <family val="2"/>
          </rPr>
          <t>Author:</t>
        </r>
        <r>
          <rPr>
            <sz val="9"/>
            <color indexed="81"/>
            <rFont val="Tahoma"/>
            <family val="2"/>
          </rPr>
          <t xml:space="preserve">
repairs and landfills of streets</t>
        </r>
      </text>
    </comment>
    <comment ref="G143" authorId="0" shapeId="0">
      <text>
        <r>
          <rPr>
            <b/>
            <sz val="9"/>
            <color indexed="81"/>
            <rFont val="Tahoma"/>
            <family val="2"/>
          </rPr>
          <t>Author:</t>
        </r>
        <r>
          <rPr>
            <sz val="9"/>
            <color indexed="81"/>
            <rFont val="Tahoma"/>
            <family val="2"/>
          </rPr>
          <t xml:space="preserve">
street and bridge repairs and other repairs</t>
        </r>
      </text>
    </comment>
    <comment ref="H143" authorId="0" shapeId="0">
      <text>
        <r>
          <rPr>
            <b/>
            <sz val="8"/>
            <color indexed="81"/>
            <rFont val="Tahoma"/>
            <family val="2"/>
          </rPr>
          <t>Author:</t>
        </r>
        <r>
          <rPr>
            <sz val="8"/>
            <color indexed="81"/>
            <rFont val="Tahoma"/>
            <family val="2"/>
          </rPr>
          <t xml:space="preserve">
concertos de ruas, pontes, patios, quardo do Jury etc.</t>
        </r>
      </text>
    </comment>
    <comment ref="L143" authorId="0" shapeId="0">
      <text>
        <r>
          <rPr>
            <b/>
            <sz val="8"/>
            <color indexed="81"/>
            <rFont val="Tahoma"/>
            <family val="2"/>
          </rPr>
          <t>Author:</t>
        </r>
        <r>
          <rPr>
            <sz val="8"/>
            <color indexed="81"/>
            <rFont val="Tahoma"/>
            <family val="2"/>
          </rPr>
          <t xml:space="preserve">
includes extinccao de formguieiros</t>
        </r>
      </text>
    </comment>
    <comment ref="O143" authorId="0" shapeId="0">
      <text>
        <r>
          <rPr>
            <b/>
            <sz val="8"/>
            <color indexed="81"/>
            <rFont val="Tahoma"/>
            <family val="2"/>
          </rPr>
          <t>Author:</t>
        </r>
        <r>
          <rPr>
            <sz val="8"/>
            <color indexed="81"/>
            <rFont val="Tahoma"/>
            <family val="2"/>
          </rPr>
          <t xml:space="preserve">
includes evenutais</t>
        </r>
      </text>
    </comment>
    <comment ref="P143" authorId="0" shapeId="0">
      <text>
        <r>
          <rPr>
            <b/>
            <sz val="8"/>
            <color indexed="81"/>
            <rFont val="Tahoma"/>
            <family val="2"/>
          </rPr>
          <t>Author:</t>
        </r>
        <r>
          <rPr>
            <sz val="8"/>
            <color indexed="81"/>
            <rFont val="Tahoma"/>
            <family val="2"/>
          </rPr>
          <t xml:space="preserve">
includes evenutais</t>
        </r>
      </text>
    </comment>
    <comment ref="Q143" authorId="0" shapeId="0">
      <text>
        <r>
          <rPr>
            <b/>
            <sz val="8"/>
            <color indexed="81"/>
            <rFont val="Tahoma"/>
            <family val="2"/>
          </rPr>
          <t>Author:</t>
        </r>
        <r>
          <rPr>
            <sz val="8"/>
            <color indexed="81"/>
            <rFont val="Tahoma"/>
            <family val="2"/>
          </rPr>
          <t xml:space="preserve">
includes evenutais</t>
        </r>
      </text>
    </comment>
    <comment ref="R143" authorId="0" shapeId="0">
      <text>
        <r>
          <rPr>
            <b/>
            <sz val="8"/>
            <color indexed="81"/>
            <rFont val="Tahoma"/>
            <family val="2"/>
          </rPr>
          <t>Author:</t>
        </r>
        <r>
          <rPr>
            <sz val="8"/>
            <color indexed="81"/>
            <rFont val="Tahoma"/>
            <family val="2"/>
          </rPr>
          <t xml:space="preserve">
includes evenutais</t>
        </r>
      </text>
    </comment>
    <comment ref="S143" authorId="0" shapeId="0">
      <text>
        <r>
          <rPr>
            <b/>
            <sz val="8"/>
            <color indexed="81"/>
            <rFont val="Tahoma"/>
            <family val="2"/>
          </rPr>
          <t>Author:</t>
        </r>
        <r>
          <rPr>
            <sz val="8"/>
            <color indexed="81"/>
            <rFont val="Tahoma"/>
            <family val="2"/>
          </rPr>
          <t xml:space="preserve">
includes evenutais</t>
        </r>
      </text>
    </comment>
    <comment ref="W143" authorId="0" shapeId="0">
      <text>
        <r>
          <rPr>
            <b/>
            <sz val="9"/>
            <color indexed="81"/>
            <rFont val="Tahoma"/>
            <family val="2"/>
          </rPr>
          <t>Author:</t>
        </r>
        <r>
          <rPr>
            <sz val="9"/>
            <color indexed="81"/>
            <rFont val="Tahoma"/>
            <family val="2"/>
          </rPr>
          <t xml:space="preserve">
tough to read, but includes nivelamento and repair and paving of streets </t>
        </r>
      </text>
    </comment>
    <comment ref="AE149" authorId="0" shapeId="0">
      <text>
        <r>
          <rPr>
            <b/>
            <sz val="8"/>
            <color indexed="81"/>
            <rFont val="Tahoma"/>
            <family val="2"/>
          </rPr>
          <t>Author:</t>
        </r>
        <r>
          <rPr>
            <sz val="8"/>
            <color indexed="81"/>
            <rFont val="Tahoma"/>
            <family val="2"/>
          </rPr>
          <t xml:space="preserve">
cost of a cart for street cleaning</t>
        </r>
      </text>
    </comment>
    <comment ref="AF149" authorId="0" shapeId="0">
      <text>
        <r>
          <rPr>
            <b/>
            <sz val="8"/>
            <color indexed="81"/>
            <rFont val="Tahoma"/>
            <family val="2"/>
          </rPr>
          <t>Author:</t>
        </r>
        <r>
          <rPr>
            <sz val="8"/>
            <color indexed="81"/>
            <rFont val="Tahoma"/>
            <family val="2"/>
          </rPr>
          <t xml:space="preserve">
cost of a cart for street cleaning</t>
        </r>
      </text>
    </comment>
    <comment ref="A154" authorId="0" shapeId="0">
      <text>
        <r>
          <rPr>
            <b/>
            <sz val="9"/>
            <color indexed="81"/>
            <rFont val="Tahoma"/>
            <family val="2"/>
          </rPr>
          <t>Author:</t>
        </r>
        <r>
          <rPr>
            <sz val="9"/>
            <color indexed="81"/>
            <rFont val="Tahoma"/>
            <family val="2"/>
          </rPr>
          <t xml:space="preserve">
The municipality is obliged to pay half costs of proceedings of poor defendants when they are acquitted.  The state was obligated to pay half costs of the proceedings of poor defendants when they were found guilty.</t>
        </r>
      </text>
    </comment>
    <comment ref="G154" authorId="0" shapeId="0">
      <text>
        <r>
          <rPr>
            <b/>
            <sz val="8"/>
            <color indexed="81"/>
            <rFont val="Tahoma"/>
            <family val="2"/>
          </rPr>
          <t>Author:</t>
        </r>
        <r>
          <rPr>
            <sz val="8"/>
            <color indexed="81"/>
            <rFont val="Tahoma"/>
            <family val="2"/>
          </rPr>
          <t xml:space="preserve">
Importe de Custas pagas ao Escrivao doJury em que foi o coffre da Municipalidade condemnado, por sentenca do Jury de Direito; Idem em custas da Camara, que decahiram por sentencas.</t>
        </r>
      </text>
    </comment>
    <comment ref="AB154" authorId="0" shapeId="0">
      <text>
        <r>
          <rPr>
            <b/>
            <sz val="9"/>
            <color indexed="81"/>
            <rFont val="Tahoma"/>
            <family val="2"/>
          </rPr>
          <t>Author:</t>
        </r>
        <r>
          <rPr>
            <sz val="9"/>
            <color indexed="81"/>
            <rFont val="Tahoma"/>
            <family val="2"/>
          </rPr>
          <t xml:space="preserve">
Meias custas = 347$.  The other 109$ are for "Custas despendidas com processos de infreaccao de Posturas"</t>
        </r>
      </text>
    </comment>
    <comment ref="H159" authorId="0" shapeId="0">
      <text>
        <r>
          <rPr>
            <b/>
            <sz val="8"/>
            <color indexed="81"/>
            <rFont val="Tahoma"/>
            <family val="2"/>
          </rPr>
          <t>Author:</t>
        </r>
        <r>
          <rPr>
            <sz val="8"/>
            <color indexed="81"/>
            <rFont val="Tahoma"/>
            <family val="2"/>
          </rPr>
          <t xml:space="preserve">
16000 for a glass window, 89800 for sidewalk in front of building.</t>
        </r>
      </text>
    </comment>
    <comment ref="Q160" authorId="0" shapeId="0">
      <text>
        <r>
          <rPr>
            <b/>
            <sz val="8"/>
            <color indexed="81"/>
            <rFont val="Tahoma"/>
            <family val="2"/>
          </rPr>
          <t>Author:</t>
        </r>
        <r>
          <rPr>
            <sz val="8"/>
            <color indexed="81"/>
            <rFont val="Tahoma"/>
            <family val="2"/>
          </rPr>
          <t xml:space="preserve">
sustento a presos pobres e reconstrucao da forca para a execucao do Rio Romao (forca=gallows)</t>
        </r>
      </text>
    </comment>
    <comment ref="G170" authorId="0" shapeId="0">
      <text>
        <r>
          <rPr>
            <b/>
            <sz val="8"/>
            <color indexed="81"/>
            <rFont val="Tahoma"/>
            <family val="2"/>
          </rPr>
          <t>Author:</t>
        </r>
        <r>
          <rPr>
            <sz val="8"/>
            <color indexed="81"/>
            <rFont val="Tahoma"/>
            <family val="2"/>
          </rPr>
          <t xml:space="preserve">
paper, books needed for the expediente da Camara.  Also 6 books of ordem do Esmo Govno to be returned to the 3 scribes de Paz para registro de births and deaths.(so each book cost 2000)</t>
        </r>
      </text>
    </comment>
    <comment ref="W179" authorId="0" shapeId="0">
      <text>
        <r>
          <rPr>
            <b/>
            <sz val="9"/>
            <color indexed="81"/>
            <rFont val="Tahoma"/>
            <family val="2"/>
          </rPr>
          <t>Author:</t>
        </r>
        <r>
          <rPr>
            <sz val="9"/>
            <color indexed="81"/>
            <rFont val="Tahoma"/>
            <family val="2"/>
          </rPr>
          <t xml:space="preserve">
lighting in the Casa da Camara and Jail, and other small expenses</t>
        </r>
      </text>
    </comment>
    <comment ref="AD179" authorId="0" shapeId="0">
      <text>
        <r>
          <rPr>
            <b/>
            <sz val="9"/>
            <color indexed="81"/>
            <rFont val="Tahoma"/>
            <family val="2"/>
          </rPr>
          <t>Author:</t>
        </r>
        <r>
          <rPr>
            <sz val="9"/>
            <color indexed="81"/>
            <rFont val="Tahoma"/>
            <family val="2"/>
          </rPr>
          <t xml:space="preserve">
spent on a set of metric weights and measures.  " and other payments of expenses"  </t>
        </r>
      </text>
    </comment>
    <comment ref="S187" authorId="0" shapeId="0">
      <text>
        <r>
          <rPr>
            <b/>
            <sz val="9"/>
            <color indexed="81"/>
            <rFont val="Tahoma"/>
            <family val="2"/>
          </rPr>
          <t>Author:</t>
        </r>
        <r>
          <rPr>
            <sz val="9"/>
            <color indexed="81"/>
            <rFont val="Tahoma"/>
            <family val="2"/>
          </rPr>
          <t xml:space="preserve">
money owed to the municipality by the Provincial Treasury.
</t>
        </r>
      </text>
    </comment>
  </commentList>
</comments>
</file>

<file path=xl/comments7.xml><?xml version="1.0" encoding="utf-8"?>
<comments xmlns="http://schemas.openxmlformats.org/spreadsheetml/2006/main">
  <authors>
    <author>Author</author>
  </authors>
  <commentList>
    <comment ref="Y5" authorId="0" shapeId="0">
      <text>
        <r>
          <rPr>
            <b/>
            <sz val="8"/>
            <color indexed="81"/>
            <rFont val="Tahoma"/>
            <family val="2"/>
          </rPr>
          <t>Author:</t>
        </r>
        <r>
          <rPr>
            <sz val="8"/>
            <color indexed="81"/>
            <rFont val="Tahoma"/>
            <family val="2"/>
          </rPr>
          <t xml:space="preserve">
no day of the month, but month and year are recorded. </t>
        </r>
      </text>
    </comment>
    <comment ref="U6" authorId="0" shapeId="0">
      <text>
        <r>
          <rPr>
            <b/>
            <sz val="9"/>
            <color indexed="81"/>
            <rFont val="Tahoma"/>
            <family val="2"/>
          </rPr>
          <t>Author:</t>
        </r>
        <r>
          <rPr>
            <sz val="9"/>
            <color indexed="81"/>
            <rFont val="Tahoma"/>
            <family val="2"/>
          </rPr>
          <t xml:space="preserve">
There is an actual balance sheet for this year, but the accounts are all consolidated without these details.  Still, it was remarkably close to the budget.  11801$ total spending and revenus.  It is in document esp 083 cf84 119, doc 1494 when searching for prestacao and sao carlos.</t>
        </r>
      </text>
    </comment>
    <comment ref="V6" authorId="0" shapeId="0">
      <text>
        <r>
          <rPr>
            <b/>
            <sz val="8"/>
            <color indexed="81"/>
            <rFont val="Tahoma"/>
            <family val="2"/>
          </rPr>
          <t>Author:</t>
        </r>
        <r>
          <rPr>
            <sz val="8"/>
            <color indexed="81"/>
            <rFont val="Tahoma"/>
            <family val="2"/>
          </rPr>
          <t xml:space="preserve">
The Budgeted amount was more than 3:000$000 less than actual, so understates the year.   The actaul results are in an unhelpfully consolidated balance sheet in falp 230, cf85 098.  Total expenditures were 17187$</t>
        </r>
      </text>
    </comment>
    <comment ref="W6" authorId="0" shapeId="0">
      <text>
        <r>
          <rPr>
            <b/>
            <sz val="9"/>
            <color indexed="81"/>
            <rFont val="Tahoma"/>
            <family val="2"/>
          </rPr>
          <t>Author:</t>
        </r>
        <r>
          <rPr>
            <sz val="9"/>
            <color indexed="81"/>
            <rFont val="Tahoma"/>
            <family val="2"/>
          </rPr>
          <t xml:space="preserve">
Just totals mostly.  Very little detail.  This year was omitted from the period averages.</t>
        </r>
      </text>
    </comment>
    <comment ref="E12" authorId="0" shapeId="0">
      <text>
        <r>
          <rPr>
            <b/>
            <sz val="8"/>
            <color indexed="81"/>
            <rFont val="Tahoma"/>
            <family val="2"/>
          </rPr>
          <t>Author:</t>
        </r>
        <r>
          <rPr>
            <sz val="8"/>
            <color indexed="81"/>
            <rFont val="Tahoma"/>
            <family val="2"/>
          </rPr>
          <t xml:space="preserve">
54$000 on aguardente, 117$120 on carne verde</t>
        </r>
      </text>
    </comment>
    <comment ref="V21" authorId="0" shapeId="0">
      <text>
        <r>
          <rPr>
            <b/>
            <sz val="8"/>
            <color indexed="81"/>
            <rFont val="Tahoma"/>
            <family val="2"/>
          </rPr>
          <t>Author:</t>
        </r>
        <r>
          <rPr>
            <sz val="8"/>
            <color indexed="81"/>
            <rFont val="Tahoma"/>
            <family val="2"/>
          </rPr>
          <t xml:space="preserve">
Café and acucar are broken out this year.  Café is 2:500$, Acucar is 100$000.</t>
        </r>
      </text>
    </comment>
    <comment ref="O31" authorId="0" shapeId="0">
      <text>
        <r>
          <rPr>
            <b/>
            <sz val="8"/>
            <color indexed="81"/>
            <rFont val="Tahoma"/>
            <family val="2"/>
          </rPr>
          <t>Author:</t>
        </r>
        <r>
          <rPr>
            <sz val="8"/>
            <color indexed="81"/>
            <rFont val="Tahoma"/>
            <family val="2"/>
          </rPr>
          <t xml:space="preserve">
Banca de advogado/law office</t>
        </r>
      </text>
    </comment>
    <comment ref="T31" authorId="0" shapeId="0">
      <text>
        <r>
          <rPr>
            <b/>
            <sz val="9"/>
            <color indexed="81"/>
            <rFont val="Tahoma"/>
            <family val="2"/>
          </rPr>
          <t>Author:</t>
        </r>
        <r>
          <rPr>
            <sz val="9"/>
            <color indexed="81"/>
            <rFont val="Tahoma"/>
            <family val="2"/>
          </rPr>
          <t xml:space="preserve">
100$ from law offices, 60$ from doctors</t>
        </r>
      </text>
    </comment>
    <comment ref="U31" authorId="0" shapeId="0">
      <text>
        <r>
          <rPr>
            <b/>
            <sz val="9"/>
            <color indexed="81"/>
            <rFont val="Tahoma"/>
            <family val="2"/>
          </rPr>
          <t>Author:</t>
        </r>
        <r>
          <rPr>
            <sz val="9"/>
            <color indexed="81"/>
            <rFont val="Tahoma"/>
            <family val="2"/>
          </rPr>
          <t xml:space="preserve">
100$ from law offices, 60$ from doctors</t>
        </r>
      </text>
    </comment>
    <comment ref="F40" authorId="0" shapeId="0">
      <text>
        <r>
          <rPr>
            <b/>
            <sz val="8"/>
            <color indexed="81"/>
            <rFont val="Tahoma"/>
            <family val="2"/>
          </rPr>
          <t>Author:</t>
        </r>
        <r>
          <rPr>
            <sz val="8"/>
            <color indexed="81"/>
            <rFont val="Tahoma"/>
            <family val="2"/>
          </rPr>
          <t xml:space="preserve">
400 reis</t>
        </r>
      </text>
    </comment>
    <comment ref="A45" authorId="0" shapeId="0">
      <text>
        <r>
          <rPr>
            <b/>
            <sz val="9"/>
            <color indexed="81"/>
            <rFont val="Tahoma"/>
            <family val="2"/>
          </rPr>
          <t>Author:</t>
        </r>
        <r>
          <rPr>
            <sz val="9"/>
            <color indexed="81"/>
            <rFont val="Tahoma"/>
            <family val="2"/>
          </rPr>
          <t xml:space="preserve">
art 200 of Codigo de Processo Criminal</t>
        </r>
      </text>
    </comment>
    <comment ref="W52" authorId="0" shapeId="0">
      <text>
        <r>
          <rPr>
            <b/>
            <sz val="9"/>
            <color indexed="81"/>
            <rFont val="Tahoma"/>
            <family val="2"/>
          </rPr>
          <t>Author:</t>
        </r>
        <r>
          <rPr>
            <sz val="9"/>
            <color indexed="81"/>
            <rFont val="Tahoma"/>
            <family val="2"/>
          </rPr>
          <t xml:space="preserve">
No detail given on revenue sources for this year.  This is the total of all revenues except for the balance forward</t>
        </r>
      </text>
    </comment>
    <comment ref="Y64" authorId="0" shapeId="0">
      <text>
        <r>
          <rPr>
            <b/>
            <sz val="8"/>
            <color indexed="81"/>
            <rFont val="Tahoma"/>
            <family val="2"/>
          </rPr>
          <t>Author:</t>
        </r>
        <r>
          <rPr>
            <sz val="8"/>
            <color indexed="81"/>
            <rFont val="Tahoma"/>
            <family val="2"/>
          </rPr>
          <t xml:space="preserve">
no day of the month, but month and year are recorded. </t>
        </r>
      </text>
    </comment>
    <comment ref="U65" authorId="0" shapeId="0">
      <text>
        <r>
          <rPr>
            <b/>
            <sz val="9"/>
            <color indexed="81"/>
            <rFont val="Tahoma"/>
            <family val="2"/>
          </rPr>
          <t>Author:</t>
        </r>
        <r>
          <rPr>
            <sz val="9"/>
            <color indexed="81"/>
            <rFont val="Tahoma"/>
            <family val="2"/>
          </rPr>
          <t xml:space="preserve">
There is an actual balance sheet for this year, but the accounts are all consolidated without these details.  Still, it was remarkably close to the budget.  11801$000 total spending and revenuess.  Document is esp 083 cf84 119, doc 1494 when searching for prestacao and sao carlos.</t>
        </r>
      </text>
    </comment>
    <comment ref="V65" authorId="0" shapeId="0">
      <text>
        <r>
          <rPr>
            <b/>
            <sz val="8"/>
            <color indexed="81"/>
            <rFont val="Tahoma"/>
            <family val="2"/>
          </rPr>
          <t>Author:</t>
        </r>
        <r>
          <rPr>
            <sz val="8"/>
            <color indexed="81"/>
            <rFont val="Tahoma"/>
            <family val="2"/>
          </rPr>
          <t xml:space="preserve">
The Budgeted amt was more than 3:000$000 less than actual, so understates the year.  Actual figures follow Total.  The actaul results are in an unhelpfully consolidated balance sheet in falp 230, cf85 098.  Total expenditures were 17187$000</t>
        </r>
      </text>
    </comment>
    <comment ref="W65" authorId="0" shapeId="0">
      <text>
        <r>
          <rPr>
            <b/>
            <sz val="9"/>
            <color indexed="81"/>
            <rFont val="Tahoma"/>
            <family val="2"/>
          </rPr>
          <t>Author:</t>
        </r>
        <r>
          <rPr>
            <sz val="9"/>
            <color indexed="81"/>
            <rFont val="Tahoma"/>
            <family val="2"/>
          </rPr>
          <t xml:space="preserve">
just totals mostly.  Very little detail.  This year was omitted from the period averages.</t>
        </r>
      </text>
    </comment>
    <comment ref="F77" authorId="0" shapeId="0">
      <text>
        <r>
          <rPr>
            <b/>
            <sz val="8"/>
            <color indexed="81"/>
            <rFont val="Tahoma"/>
            <family val="2"/>
          </rPr>
          <t>Author:</t>
        </r>
        <r>
          <rPr>
            <sz val="8"/>
            <color indexed="81"/>
            <rFont val="Tahoma"/>
            <family val="2"/>
          </rPr>
          <t xml:space="preserve">
12%</t>
        </r>
      </text>
    </comment>
    <comment ref="G77" authorId="0" shapeId="0">
      <text>
        <r>
          <rPr>
            <b/>
            <sz val="8"/>
            <color indexed="81"/>
            <rFont val="Tahoma"/>
            <family val="2"/>
          </rPr>
          <t>Author:</t>
        </r>
        <r>
          <rPr>
            <sz val="8"/>
            <color indexed="81"/>
            <rFont val="Tahoma"/>
            <family val="2"/>
          </rPr>
          <t xml:space="preserve">
12%</t>
        </r>
      </text>
    </comment>
    <comment ref="H77" authorId="0" shapeId="0">
      <text>
        <r>
          <rPr>
            <b/>
            <sz val="8"/>
            <color indexed="81"/>
            <rFont val="Tahoma"/>
            <family val="2"/>
          </rPr>
          <t>Author:</t>
        </r>
        <r>
          <rPr>
            <sz val="8"/>
            <color indexed="81"/>
            <rFont val="Tahoma"/>
            <family val="2"/>
          </rPr>
          <t xml:space="preserve">
12%</t>
        </r>
      </text>
    </comment>
    <comment ref="O77" authorId="0" shapeId="0">
      <text>
        <r>
          <rPr>
            <b/>
            <sz val="8"/>
            <color indexed="81"/>
            <rFont val="Tahoma"/>
            <family val="2"/>
          </rPr>
          <t>Author:</t>
        </r>
        <r>
          <rPr>
            <sz val="8"/>
            <color indexed="81"/>
            <rFont val="Tahoma"/>
            <family val="2"/>
          </rPr>
          <t xml:space="preserve">
12%</t>
        </r>
      </text>
    </comment>
    <comment ref="P77" authorId="0" shapeId="0">
      <text>
        <r>
          <rPr>
            <b/>
            <sz val="8"/>
            <color indexed="81"/>
            <rFont val="Tahoma"/>
            <family val="2"/>
          </rPr>
          <t>Author:</t>
        </r>
        <r>
          <rPr>
            <sz val="8"/>
            <color indexed="81"/>
            <rFont val="Tahoma"/>
            <family val="2"/>
          </rPr>
          <t xml:space="preserve">
12%</t>
        </r>
      </text>
    </comment>
    <comment ref="R77" authorId="0" shapeId="0">
      <text>
        <r>
          <rPr>
            <b/>
            <sz val="8"/>
            <color indexed="81"/>
            <rFont val="Tahoma"/>
            <family val="2"/>
          </rPr>
          <t>Author:</t>
        </r>
        <r>
          <rPr>
            <sz val="8"/>
            <color indexed="81"/>
            <rFont val="Tahoma"/>
            <family val="2"/>
          </rPr>
          <t xml:space="preserve">
12%</t>
        </r>
      </text>
    </comment>
    <comment ref="T77" authorId="0" shapeId="0">
      <text>
        <r>
          <rPr>
            <b/>
            <sz val="8"/>
            <color indexed="81"/>
            <rFont val="Tahoma"/>
            <family val="2"/>
          </rPr>
          <t>Author:</t>
        </r>
        <r>
          <rPr>
            <sz val="8"/>
            <color indexed="81"/>
            <rFont val="Tahoma"/>
            <family val="2"/>
          </rPr>
          <t xml:space="preserve">
12%</t>
        </r>
      </text>
    </comment>
    <comment ref="V77" authorId="0" shapeId="0">
      <text>
        <r>
          <rPr>
            <b/>
            <sz val="8"/>
            <color indexed="81"/>
            <rFont val="Tahoma"/>
            <family val="2"/>
          </rPr>
          <t>Author:</t>
        </r>
        <r>
          <rPr>
            <sz val="8"/>
            <color indexed="81"/>
            <rFont val="Tahoma"/>
            <family val="2"/>
          </rPr>
          <t xml:space="preserve">
10%</t>
        </r>
      </text>
    </comment>
    <comment ref="P83" authorId="0" shapeId="0">
      <text>
        <r>
          <rPr>
            <b/>
            <sz val="8"/>
            <color indexed="81"/>
            <rFont val="Tahoma"/>
            <family val="2"/>
          </rPr>
          <t>Author:</t>
        </r>
        <r>
          <rPr>
            <sz val="8"/>
            <color indexed="81"/>
            <rFont val="Tahoma"/>
            <family val="2"/>
          </rPr>
          <t xml:space="preserve">
144 truck loads of rocks (pedras) @ 3$</t>
        </r>
      </text>
    </comment>
    <comment ref="A88" authorId="0" shapeId="0">
      <text>
        <r>
          <rPr>
            <b/>
            <sz val="9"/>
            <color indexed="81"/>
            <rFont val="Tahoma"/>
            <family val="2"/>
          </rPr>
          <t>Author:</t>
        </r>
        <r>
          <rPr>
            <sz val="9"/>
            <color indexed="81"/>
            <rFont val="Tahoma"/>
            <family val="2"/>
          </rPr>
          <t xml:space="preserve">
per article 41 of posturas (municipal code of ordinance)
</t>
        </r>
      </text>
    </comment>
    <comment ref="A98" authorId="0" shapeId="0">
      <text>
        <r>
          <rPr>
            <b/>
            <sz val="9"/>
            <color indexed="81"/>
            <rFont val="Tahoma"/>
            <family val="2"/>
          </rPr>
          <t>Author:</t>
        </r>
        <r>
          <rPr>
            <sz val="9"/>
            <color indexed="81"/>
            <rFont val="Tahoma"/>
            <family val="2"/>
          </rPr>
          <t xml:space="preserve">
The municipality was obliged to pay half costs of proceedings of poor defendants when they are acquitted.  The state was obligated to pay half costs of the proceedings of poor defendants when they were found guilty.</t>
        </r>
      </text>
    </comment>
    <comment ref="O108" authorId="0" shapeId="0">
      <text>
        <r>
          <rPr>
            <b/>
            <sz val="8"/>
            <color indexed="81"/>
            <rFont val="Tahoma"/>
            <family val="2"/>
          </rPr>
          <t>Author:</t>
        </r>
        <r>
          <rPr>
            <sz val="8"/>
            <color indexed="81"/>
            <rFont val="Tahoma"/>
            <family val="2"/>
          </rPr>
          <t xml:space="preserve">
an armoire for the archive</t>
        </r>
      </text>
    </comment>
    <comment ref="W114" authorId="0" shapeId="0">
      <text>
        <r>
          <rPr>
            <b/>
            <sz val="9"/>
            <color indexed="81"/>
            <rFont val="Tahoma"/>
            <family val="2"/>
          </rPr>
          <t>Author:</t>
        </r>
        <r>
          <rPr>
            <sz val="9"/>
            <color indexed="81"/>
            <rFont val="Tahoma"/>
            <family val="2"/>
          </rPr>
          <t xml:space="preserve">
No detail given on revenue sources for this year.  This is the total of all expenditures in the year.</t>
        </r>
      </text>
    </comment>
    <comment ref="V145" authorId="0" shapeId="0">
      <text>
        <r>
          <rPr>
            <b/>
            <sz val="8"/>
            <color indexed="81"/>
            <rFont val="Tahoma"/>
            <family val="2"/>
          </rPr>
          <t>Author:</t>
        </r>
        <r>
          <rPr>
            <sz val="8"/>
            <color indexed="81"/>
            <rFont val="Tahoma"/>
            <family val="2"/>
          </rPr>
          <t xml:space="preserve">
from falp 230, cf85-089, dated 20 Feb 1885.  This R&amp;D just summarized money spent so I use Budget for detail.</t>
        </r>
      </text>
    </comment>
    <comment ref="V146" authorId="0" shapeId="0">
      <text>
        <r>
          <rPr>
            <b/>
            <sz val="8"/>
            <color indexed="81"/>
            <rFont val="Tahoma"/>
            <family val="2"/>
          </rPr>
          <t>Author:</t>
        </r>
        <r>
          <rPr>
            <sz val="8"/>
            <color indexed="81"/>
            <rFont val="Tahoma"/>
            <family val="2"/>
          </rPr>
          <t xml:space="preserve">
from falp 230, cf85-089, dated 20 Feb 1885.  This R&amp;D just summarized money spent so I use Budget for detail.</t>
        </r>
      </text>
    </comment>
    <comment ref="V147" authorId="0" shapeId="0">
      <text>
        <r>
          <rPr>
            <b/>
            <sz val="8"/>
            <color indexed="81"/>
            <rFont val="Tahoma"/>
            <family val="2"/>
          </rPr>
          <t>Author:</t>
        </r>
        <r>
          <rPr>
            <sz val="8"/>
            <color indexed="81"/>
            <rFont val="Tahoma"/>
            <family val="2"/>
          </rPr>
          <t xml:space="preserve">
from falp 230, cf85-089, dated 20 Feb 1885.  This R&amp;D just summarized money spent so I use Budget for detail.</t>
        </r>
      </text>
    </comment>
  </commentList>
</comments>
</file>

<file path=xl/sharedStrings.xml><?xml version="1.0" encoding="utf-8"?>
<sst xmlns="http://schemas.openxmlformats.org/spreadsheetml/2006/main" count="3187" uniqueCount="1389">
  <si>
    <t>esp 017</t>
  </si>
  <si>
    <t>esp 028</t>
  </si>
  <si>
    <t>esp 032</t>
  </si>
  <si>
    <t>esp 034</t>
  </si>
  <si>
    <t>esp 036</t>
  </si>
  <si>
    <t>NA</t>
  </si>
  <si>
    <t>esp 091</t>
  </si>
  <si>
    <t>1 Oct 1835-30 Sept 1836</t>
  </si>
  <si>
    <t>1 Oct 1836-30 Sept 1837</t>
  </si>
  <si>
    <t>1 Oct 1837-30 Sept 1838</t>
  </si>
  <si>
    <t>1 Oct 1838-30 Sept 1839</t>
  </si>
  <si>
    <t>1 Oct 1839-30 Sept 1840</t>
  </si>
  <si>
    <t>1 Oct 1840-30 Sept 1841</t>
  </si>
  <si>
    <t>1 Oct 1841-30 Sept 1842</t>
  </si>
  <si>
    <t>1 Oct 1842-30 Sept 1843</t>
  </si>
  <si>
    <t>43/44</t>
  </si>
  <si>
    <t>1 Oct 1844-30 Sept 1845</t>
  </si>
  <si>
    <t>1 Oct 1845-30 Sept 1846</t>
  </si>
  <si>
    <t>1 Oct 1846-30 Sept 1847</t>
  </si>
  <si>
    <t>1 Oct 1847-30 Sept 1848</t>
  </si>
  <si>
    <t>1 Oct 1849-30 Sept 1850</t>
  </si>
  <si>
    <t>1 Oct 1850-31 Dec 1851</t>
  </si>
  <si>
    <t>1873/1874</t>
  </si>
  <si>
    <t>1878/1879</t>
  </si>
  <si>
    <t>1879-1880</t>
  </si>
  <si>
    <t>1880/1881</t>
  </si>
  <si>
    <t>1881/1882</t>
  </si>
  <si>
    <t>1882/1883</t>
  </si>
  <si>
    <t>1883/1884</t>
  </si>
  <si>
    <t>1884/1885</t>
  </si>
  <si>
    <t>1885/1886</t>
  </si>
  <si>
    <t>1886/1887</t>
  </si>
  <si>
    <t>1887/1888</t>
  </si>
  <si>
    <t>1888/1889</t>
  </si>
  <si>
    <t>23 Dec 1836</t>
  </si>
  <si>
    <t>X Dec 1837</t>
  </si>
  <si>
    <t>29 Nov 1838</t>
  </si>
  <si>
    <t>23 Dec 1839</t>
  </si>
  <si>
    <t>4 Dez 1840</t>
  </si>
  <si>
    <t>11 October 1841</t>
  </si>
  <si>
    <t>3 Nov 1842</t>
  </si>
  <si>
    <t>11 Nov 1843</t>
  </si>
  <si>
    <t>5 Dec 1845</t>
  </si>
  <si>
    <t>20 Nov 1846</t>
  </si>
  <si>
    <t>8 Nov 1847</t>
  </si>
  <si>
    <t>22 Nov 1848</t>
  </si>
  <si>
    <t>1 Feb 1851</t>
  </si>
  <si>
    <t>2 Feb 1852</t>
  </si>
  <si>
    <t>estimate</t>
  </si>
  <si>
    <t>9 April 1853</t>
  </si>
  <si>
    <t>31 Dec 1854</t>
  </si>
  <si>
    <t>31 Dec 1856</t>
  </si>
  <si>
    <t>12 Jan 1858</t>
  </si>
  <si>
    <t>17 Jan 1860</t>
  </si>
  <si>
    <t>6 Jan 1861</t>
  </si>
  <si>
    <t>20 Jan 1862</t>
  </si>
  <si>
    <t>5 Jan 1863</t>
  </si>
  <si>
    <t>18 Jan 1864</t>
  </si>
  <si>
    <t>29 July 1866</t>
  </si>
  <si>
    <t>14 July 1867</t>
  </si>
  <si>
    <t>23 July 1868</t>
  </si>
  <si>
    <t>4 Mar 1871</t>
  </si>
  <si>
    <t>2 October 1871</t>
  </si>
  <si>
    <t>17 Jan 1874</t>
  </si>
  <si>
    <t>25 Jan 1880</t>
  </si>
  <si>
    <t>11 Feb 1883</t>
  </si>
  <si>
    <t>8 Feb 1885</t>
  </si>
  <si>
    <t>9 Jan 1886</t>
  </si>
  <si>
    <t>8 Sept 1886</t>
  </si>
  <si>
    <t>5 Dec 1888</t>
  </si>
  <si>
    <t>Actual</t>
  </si>
  <si>
    <t>Budget</t>
  </si>
  <si>
    <t>normalized</t>
  </si>
  <si>
    <t>Beggar's licence</t>
  </si>
  <si>
    <t>Contractors</t>
  </si>
  <si>
    <t>Dentist</t>
  </si>
  <si>
    <t>Liberal professionals offices (lawyer, doctor, notary)</t>
  </si>
  <si>
    <t>Shops and warehouses</t>
  </si>
  <si>
    <t>Slave transfers (sales)</t>
  </si>
  <si>
    <t>Water taps</t>
  </si>
  <si>
    <t>Illegible accounts/misc accts</t>
  </si>
  <si>
    <t>Subventions for public works</t>
  </si>
  <si>
    <t>Accounts Receivable collected</t>
  </si>
  <si>
    <t>Total Revenues</t>
  </si>
  <si>
    <t>Budget or Actual Results</t>
  </si>
  <si>
    <t>Fiscal Year</t>
  </si>
  <si>
    <t>report date</t>
  </si>
  <si>
    <t>RECEITAS/REVENUES IN NOMINAL REIS</t>
  </si>
  <si>
    <t>ALESP Araraquara: collection</t>
  </si>
  <si>
    <t>ALESP Araraquara: document number</t>
  </si>
  <si>
    <t>Undefined balance forward</t>
  </si>
  <si>
    <t>48/49</t>
  </si>
  <si>
    <t>(Column Q/15)*12</t>
  </si>
  <si>
    <t>(illegible) Oct 1865</t>
  </si>
  <si>
    <t>1862/63</t>
  </si>
  <si>
    <t>1863/64</t>
  </si>
  <si>
    <t>1864/65</t>
  </si>
  <si>
    <t>1865/66</t>
  </si>
  <si>
    <t>1866/67</t>
  </si>
  <si>
    <t>1867/68</t>
  </si>
  <si>
    <t>1868/69</t>
  </si>
  <si>
    <t>1869/70</t>
  </si>
  <si>
    <t>1870/71</t>
  </si>
  <si>
    <t>1871/72</t>
  </si>
  <si>
    <t>1872/73</t>
  </si>
  <si>
    <t>1874/75</t>
  </si>
  <si>
    <t>1875/76</t>
  </si>
  <si>
    <t>1876/77</t>
  </si>
  <si>
    <t>1877/78</t>
  </si>
  <si>
    <t>12 September 1872</t>
  </si>
  <si>
    <t>no date</t>
  </si>
  <si>
    <t>Animals (sold at public auction)</t>
  </si>
  <si>
    <t>Aguardente (sugar cane liquor)</t>
  </si>
  <si>
    <t>Novo imposto (New Tax on warehouse, bars)</t>
  </si>
  <si>
    <t>Animals (license)</t>
  </si>
  <si>
    <t>Botequins (bars)</t>
  </si>
  <si>
    <t>Sweets</t>
  </si>
  <si>
    <t>Fumo (tobacco)</t>
  </si>
  <si>
    <t>Quitandas (Green grocers)</t>
  </si>
  <si>
    <t>Hoteis (hotels)</t>
  </si>
  <si>
    <t>Datas de terrenos (Land titles)</t>
  </si>
  <si>
    <t>Miscellaneous</t>
  </si>
  <si>
    <t>Ferragem (hardware)</t>
  </si>
  <si>
    <t>Subventions for Head Church (Matriz)</t>
  </si>
  <si>
    <t>Actual, Revenue details ONLY</t>
  </si>
  <si>
    <t>Column Q/15*12</t>
  </si>
  <si>
    <t>illeg Oct 1865</t>
  </si>
  <si>
    <t>12 september 1872</t>
  </si>
  <si>
    <t>S/D</t>
  </si>
  <si>
    <t>Deficit from year before</t>
  </si>
  <si>
    <t>Administrator of Cemetery</t>
  </si>
  <si>
    <t>Lighting employee</t>
  </si>
  <si>
    <t>Purchase of land next to jail</t>
  </si>
  <si>
    <t>Books</t>
  </si>
  <si>
    <t>Stamps</t>
  </si>
  <si>
    <t>To the Vicar</t>
  </si>
  <si>
    <t>Accounts Payable</t>
  </si>
  <si>
    <t>Total Expenditures</t>
  </si>
  <si>
    <t>Balance carried forward (saldo) from year before</t>
  </si>
  <si>
    <t>Açogue (butcher shop)</t>
  </si>
  <si>
    <t>Aferição (verification of weights and measures)</t>
  </si>
  <si>
    <t>Café,  açucar (coffee, sugar)</t>
  </si>
  <si>
    <t>Praça de animaes no curral do conselho (Municipal corral)</t>
  </si>
  <si>
    <t>Ramo de Estanque e Aferição</t>
  </si>
  <si>
    <t>Money from Provincial Deputy, the Baron of Rio Claro</t>
  </si>
  <si>
    <t>Estanques  (monopoly stores selling aguardente)</t>
  </si>
  <si>
    <r>
      <t>Jogos l</t>
    </r>
    <r>
      <rPr>
        <sz val="11"/>
        <color theme="1"/>
        <rFont val="Calibri"/>
        <family val="2"/>
      </rPr>
      <t>í</t>
    </r>
    <r>
      <rPr>
        <sz val="11"/>
        <color theme="1"/>
        <rFont val="Calibri"/>
        <family val="2"/>
        <scheme val="minor"/>
      </rPr>
      <t>citos (legal gaming parlors)</t>
    </r>
  </si>
  <si>
    <r>
      <t>Licen</t>
    </r>
    <r>
      <rPr>
        <sz val="11"/>
        <color theme="1"/>
        <rFont val="Calibri"/>
        <family val="2"/>
      </rPr>
      <t>ç</t>
    </r>
    <r>
      <rPr>
        <sz val="11"/>
        <color theme="1"/>
        <rFont val="Calibri"/>
        <family val="2"/>
        <scheme val="minor"/>
      </rPr>
      <t>as em geral (miscellaneous licenses)</t>
    </r>
  </si>
  <si>
    <r>
      <t>Licen</t>
    </r>
    <r>
      <rPr>
        <sz val="11"/>
        <rFont val="Calibri"/>
        <family val="2"/>
      </rPr>
      <t>ç</t>
    </r>
    <r>
      <rPr>
        <sz val="11"/>
        <rFont val="Calibri"/>
        <family val="2"/>
        <scheme val="minor"/>
      </rPr>
      <t>as para loja, lojas e boticas (licenses for shops and pharmacies</t>
    </r>
  </si>
  <si>
    <r>
      <t>Licen</t>
    </r>
    <r>
      <rPr>
        <sz val="11"/>
        <color theme="1"/>
        <rFont val="Calibri"/>
        <family val="2"/>
      </rPr>
      <t>ç</t>
    </r>
    <r>
      <rPr>
        <sz val="11"/>
        <color theme="1"/>
        <rFont val="Calibri"/>
        <family val="2"/>
        <scheme val="minor"/>
      </rPr>
      <t>as para lojas e tabernas (licenses for shops and taverns)</t>
    </r>
  </si>
  <si>
    <t>Oficinas (workshops)</t>
  </si>
  <si>
    <t>Cleaning water ditch/channel</t>
  </si>
  <si>
    <t>Comportas de ferros (iron floodgates)</t>
  </si>
  <si>
    <t>Concertos de ruas, estradas  (street and road repair)</t>
  </si>
  <si>
    <t>Hospital dos variolozos (smallpox hospital)</t>
  </si>
  <si>
    <t>Lazareto (leper's hospital)</t>
  </si>
  <si>
    <t>Limpeza de Rua (street cleaning)</t>
  </si>
  <si>
    <t>Construction and materials for jail</t>
  </si>
  <si>
    <t>Expenses for house serving as jail</t>
  </si>
  <si>
    <t>Luzes para a Cadeia (lights for the jail)</t>
  </si>
  <si>
    <t>Luz, agua, limpeza da cadeia (lights, water, cleaning for jail)</t>
  </si>
  <si>
    <t>Expediente do Jury (jury compensation)</t>
  </si>
  <si>
    <t>Mercado (municipal market)</t>
  </si>
  <si>
    <t>Matadouro (municipal slaughterhouse)</t>
  </si>
  <si>
    <t>Imprensa (printing costs)</t>
  </si>
  <si>
    <t>Official set of  weights and measures</t>
  </si>
  <si>
    <t>Misc Religious expenses</t>
  </si>
  <si>
    <t>Obra da Matriz (construction on Head Church)</t>
  </si>
  <si>
    <t>Eventuais/Despezas gerais (Miscellaneous expenses)</t>
  </si>
  <si>
    <t>Numeração de Casas (house numbering)</t>
  </si>
  <si>
    <t>Despezas com a Eleição (election-related expenditures)</t>
  </si>
  <si>
    <t>Concertos na sala da Câmara e Cadea (repairs to the municipal headquarters and jail)</t>
  </si>
  <si>
    <t>Expediente da Câmara (council costs)</t>
  </si>
  <si>
    <t>Expenses of the Câmara</t>
  </si>
  <si>
    <r>
      <t>Illuminação P</t>
    </r>
    <r>
      <rPr>
        <sz val="11"/>
        <color theme="1"/>
        <rFont val="Calibri"/>
        <family val="2"/>
      </rPr>
      <t>ú</t>
    </r>
    <r>
      <rPr>
        <sz val="11"/>
        <color theme="1"/>
        <rFont val="Calibri"/>
        <family val="2"/>
        <scheme val="minor"/>
      </rPr>
      <t>blica (public lighting)</t>
    </r>
  </si>
  <si>
    <r>
      <t>Cemit</t>
    </r>
    <r>
      <rPr>
        <sz val="11"/>
        <color theme="1"/>
        <rFont val="Calibri"/>
        <family val="2"/>
      </rPr>
      <t>é</t>
    </r>
    <r>
      <rPr>
        <sz val="11"/>
        <color theme="1"/>
        <rFont val="Calibri"/>
        <family val="2"/>
        <scheme val="minor"/>
      </rPr>
      <t>rio (municipal cemetery)</t>
    </r>
  </si>
  <si>
    <t>Hygiene Pública (public hygiene)</t>
  </si>
  <si>
    <r>
      <t>Servid</t>
    </r>
    <r>
      <rPr>
        <sz val="11"/>
        <color theme="1"/>
        <rFont val="Calibri"/>
        <family val="2"/>
      </rPr>
      <t>ã</t>
    </r>
    <r>
      <rPr>
        <sz val="11"/>
        <color theme="1"/>
        <rFont val="Calibri"/>
        <family val="2"/>
        <scheme val="minor"/>
      </rPr>
      <t>o (public right-of-way on private property)</t>
    </r>
  </si>
  <si>
    <r>
      <t>Servid</t>
    </r>
    <r>
      <rPr>
        <sz val="11"/>
        <color theme="1"/>
        <rFont val="Calibri"/>
        <family val="2"/>
      </rPr>
      <t>ã</t>
    </r>
    <r>
      <rPr>
        <sz val="11"/>
        <color theme="1"/>
        <rFont val="Calibri"/>
        <family val="2"/>
        <scheme val="minor"/>
      </rPr>
      <t>o e Matadouro (right of way and slaughterhouse)</t>
    </r>
  </si>
  <si>
    <t>Conta do Auro/Aluno (illegible)/ school house rent</t>
  </si>
  <si>
    <t>Falp 103</t>
  </si>
  <si>
    <t>Falp 109</t>
  </si>
  <si>
    <t>Falp 110</t>
  </si>
  <si>
    <t>Falp 118</t>
  </si>
  <si>
    <t>Falp 132</t>
  </si>
  <si>
    <t>Falp 143</t>
  </si>
  <si>
    <t>Falp 146</t>
  </si>
  <si>
    <t>Falp 157</t>
  </si>
  <si>
    <t>Falp 162</t>
  </si>
  <si>
    <t>Falp 174</t>
  </si>
  <si>
    <t>Falp 179</t>
  </si>
  <si>
    <t>Falp 183</t>
  </si>
  <si>
    <t>Falp 186</t>
  </si>
  <si>
    <t>Falp 190</t>
  </si>
  <si>
    <t>Falp 194</t>
  </si>
  <si>
    <t>Falp 201</t>
  </si>
  <si>
    <t>Falp 207</t>
  </si>
  <si>
    <t>Falp 213</t>
  </si>
  <si>
    <t>Falp 221</t>
  </si>
  <si>
    <t>Falp 223</t>
  </si>
  <si>
    <t>Falp 228</t>
  </si>
  <si>
    <t>Falp 232</t>
  </si>
  <si>
    <t>esp 092</t>
  </si>
  <si>
    <t>1863/1864</t>
  </si>
  <si>
    <t>1864/1865</t>
  </si>
  <si>
    <t>1865/1866</t>
  </si>
  <si>
    <t>1866/1867</t>
  </si>
  <si>
    <t>1867/1868</t>
  </si>
  <si>
    <t>1868/1869</t>
  </si>
  <si>
    <t>1869/1870</t>
  </si>
  <si>
    <t>1870/1871</t>
  </si>
  <si>
    <t>1871/1872</t>
  </si>
  <si>
    <t>1872/1873</t>
  </si>
  <si>
    <t>1874/1875</t>
  </si>
  <si>
    <t>1875/1876</t>
  </si>
  <si>
    <t>1876-1877</t>
  </si>
  <si>
    <t>1877/1878</t>
  </si>
  <si>
    <t>1889/1890</t>
  </si>
  <si>
    <t>1890/1891</t>
  </si>
  <si>
    <t>18 Mar 1858</t>
  </si>
  <si>
    <t>X Feb 1859</t>
  </si>
  <si>
    <t>20 Jan 1860</t>
  </si>
  <si>
    <t>16 April 1862</t>
  </si>
  <si>
    <t>28 Jan 1863</t>
  </si>
  <si>
    <t>28 Nov 1865</t>
  </si>
  <si>
    <t>24 Jan 1867</t>
  </si>
  <si>
    <t>2 Jan 1868</t>
  </si>
  <si>
    <t>17 Jan 1870</t>
  </si>
  <si>
    <t>31 Dec 1870</t>
  </si>
  <si>
    <t>30 Dec 1871</t>
  </si>
  <si>
    <t>31 Dec 1872</t>
  </si>
  <si>
    <t>X Feb 1874</t>
  </si>
  <si>
    <t>22 Feb 1875</t>
  </si>
  <si>
    <t>7 Feb 1876</t>
  </si>
  <si>
    <t>15 Jan 1877</t>
  </si>
  <si>
    <t>4 Feb 1878</t>
  </si>
  <si>
    <t>26 Jan 1880</t>
  </si>
  <si>
    <t>4 Jan 1881</t>
  </si>
  <si>
    <t>2 Jan 1882</t>
  </si>
  <si>
    <t>23 Dec 1882</t>
  </si>
  <si>
    <t>7 Jan 1884</t>
  </si>
  <si>
    <t>13 Jan 1885</t>
  </si>
  <si>
    <t>15 Feb 1886</t>
  </si>
  <si>
    <t>24 Dez 1886</t>
  </si>
  <si>
    <t>24 Dec 1886</t>
  </si>
  <si>
    <t>28 Jan 1889</t>
  </si>
  <si>
    <t>18 Feb 1890</t>
  </si>
  <si>
    <t>9 June 1891</t>
  </si>
  <si>
    <t>13 June 1892</t>
  </si>
  <si>
    <t>Armarinho (fabrics, sewing notions etc)</t>
  </si>
  <si>
    <t>Assorted taxes with special application</t>
  </si>
  <si>
    <t>Business sale transfer tax</t>
  </si>
  <si>
    <t>License to sell tack (arreios) (for horses)</t>
  </si>
  <si>
    <t>Accounts receivable paid in this year</t>
  </si>
  <si>
    <t>Amout offered by three men to buy furniture for the meeting room</t>
  </si>
  <si>
    <t>ALESP Amparo collection</t>
  </si>
  <si>
    <t>ALESP Amparo document number</t>
  </si>
  <si>
    <t>The last three years are from the municipal archive in Amparo</t>
  </si>
  <si>
    <t>Lojas de fazendas (merchandise shops)</t>
  </si>
  <si>
    <t>Armazem (warehouse)</t>
  </si>
  <si>
    <t>Armazem e taberna (warehouse, tavern)</t>
  </si>
  <si>
    <t>Taberna (tavern)</t>
  </si>
  <si>
    <t>Bandeiras c/ fim de tirar esmola (permits to collect alms)</t>
  </si>
  <si>
    <t>Boticas, padarias, casas de commissao (druggists, bakeries, merchant houses)</t>
  </si>
  <si>
    <t>Armazens, lojas, tabernas, boticos, secos e molhados, farmacia, calcados, chapeus, acougues etc (Warehouses, shops, taverns, druggists general stores, pharmacies, shoes, hats, butcher etc)</t>
  </si>
  <si>
    <t>Botica (druggist)</t>
  </si>
  <si>
    <t>Cabras de leite e caes (milk goat and dog licences)</t>
  </si>
  <si>
    <t>Cabras de leite (milk goat license)</t>
  </si>
  <si>
    <t>Businesses established outside the city (on roads</t>
  </si>
  <si>
    <t>Ecravos fugidos prezos por escoltas (captured runaway slaves)</t>
  </si>
  <si>
    <t>Furadores (borers)</t>
  </si>
  <si>
    <t>Quitandas (greengrocers)</t>
  </si>
  <si>
    <t>Hoteis, botequins, restaurants (hotels, bars, restaurants)</t>
  </si>
  <si>
    <t>Hoteis, padarias e quitandas (hotels, bakeries, greengrocers)</t>
  </si>
  <si>
    <t>Bilhares (billiards)</t>
  </si>
  <si>
    <t>Joias (jewelry)</t>
  </si>
  <si>
    <t>Joaieiros e mascates (jewelers and peddlers)</t>
  </si>
  <si>
    <t>Mascates (peddlers)</t>
  </si>
  <si>
    <t>Mascate de ouro e prata (silver and gold peddlers)</t>
  </si>
  <si>
    <t>Mascates de fazendas (dry goods peddlers)</t>
  </si>
  <si>
    <t>Portas e Janelas (tax on doors and windows)</t>
  </si>
  <si>
    <t>Predial (tax on rental value of property)</t>
  </si>
  <si>
    <t>Rezes abaditos (slaughter of cattle)</t>
  </si>
  <si>
    <t>Porcos vendidos na cidade (pigs sold in the city)</t>
  </si>
  <si>
    <t>Tropas soltas e pastos de aluguel (animal herds and rental pasture)</t>
  </si>
  <si>
    <t>Tropas soltas (animal herds)</t>
  </si>
  <si>
    <t>Pastos de aluguel (rental pasture)</t>
  </si>
  <si>
    <t>Funileiros ou caldereiros (tinkerers)</t>
  </si>
  <si>
    <t>Vendas de escravos (tax on sale of slaves)</t>
  </si>
  <si>
    <t>Tax of 20 reis per 15 kilos of coffe produced in the muni</t>
  </si>
  <si>
    <t>Tax of 1,000 reis on each conto of reis (1,000,000 reis) paid as a premium, up to two hundred contos</t>
  </si>
  <si>
    <t xml:space="preserve">Tax of 20% on cost of sidewalks, paid by property owners </t>
  </si>
  <si>
    <t>Multas (fines) for infractions of posturas</t>
  </si>
  <si>
    <t>Cash on hand</t>
  </si>
  <si>
    <t>1876/1877</t>
  </si>
  <si>
    <t>Administrator of Market</t>
  </si>
  <si>
    <t>Veterinarian of the Matadouro</t>
  </si>
  <si>
    <t>Fiscal #2</t>
  </si>
  <si>
    <t>Percentage to the Fiscal on collection of fines he imposed</t>
  </si>
  <si>
    <t>Caretaker of the Public Garden</t>
  </si>
  <si>
    <t>Trash removal</t>
  </si>
  <si>
    <t>DESPEZAS/EXPENDITURES IN NOMINAL REIS</t>
  </si>
  <si>
    <r>
      <t>Gratifica</t>
    </r>
    <r>
      <rPr>
        <sz val="11"/>
        <color theme="1"/>
        <rFont val="Calibri"/>
        <family val="2"/>
      </rPr>
      <t>çõ</t>
    </r>
    <r>
      <rPr>
        <sz val="11"/>
        <color theme="1"/>
        <rFont val="Calibri"/>
        <family val="2"/>
        <scheme val="minor"/>
      </rPr>
      <t>es/Salaries:</t>
    </r>
  </si>
  <si>
    <t xml:space="preserve">Expenditures on: </t>
  </si>
  <si>
    <t>Gravedigger (2)</t>
  </si>
  <si>
    <t>Fiscal (municipal inspector)</t>
  </si>
  <si>
    <t>Porteiro (council doorman)</t>
  </si>
  <si>
    <t>Secretary</t>
  </si>
  <si>
    <t>Rent of plot to hold animal herds</t>
  </si>
  <si>
    <t>Expenses from indigent smallpox patients</t>
  </si>
  <si>
    <t>esp 040</t>
  </si>
  <si>
    <t>esp 042</t>
  </si>
  <si>
    <t>esp 044</t>
  </si>
  <si>
    <t>esp 046</t>
  </si>
  <si>
    <t>esp 049</t>
  </si>
  <si>
    <t>esp 051</t>
  </si>
  <si>
    <t>esp 059</t>
  </si>
  <si>
    <t>esp 062</t>
  </si>
  <si>
    <t>esp 068</t>
  </si>
  <si>
    <t>esp 080</t>
  </si>
  <si>
    <t>esp 082</t>
  </si>
  <si>
    <t>1834-1835</t>
  </si>
  <si>
    <t>35/36</t>
  </si>
  <si>
    <t>36/37</t>
  </si>
  <si>
    <t>1837-1838</t>
  </si>
  <si>
    <t>1838-1839</t>
  </si>
  <si>
    <t>1839-1840</t>
  </si>
  <si>
    <t>1840-1841</t>
  </si>
  <si>
    <t>1841-1842</t>
  </si>
  <si>
    <t>1842-1843</t>
  </si>
  <si>
    <t>1843-1844</t>
  </si>
  <si>
    <t>44/45</t>
  </si>
  <si>
    <t>1845-1846</t>
  </si>
  <si>
    <t>46/47</t>
  </si>
  <si>
    <t>47/48</t>
  </si>
  <si>
    <t>49/50</t>
  </si>
  <si>
    <t>1 Oct 50-31 Dec 1851</t>
  </si>
  <si>
    <t>1862/1863</t>
  </si>
  <si>
    <t>63/64</t>
  </si>
  <si>
    <t>73/74</t>
  </si>
  <si>
    <t>74/75</t>
  </si>
  <si>
    <t>77/78</t>
  </si>
  <si>
    <t>85/86</t>
  </si>
  <si>
    <t>88/89</t>
  </si>
  <si>
    <t>89/90</t>
  </si>
  <si>
    <t>7 Dec 1835</t>
  </si>
  <si>
    <t>11 Dec 1838</t>
  </si>
  <si>
    <t>28 Nov 1839</t>
  </si>
  <si>
    <t>1 Dec 1840</t>
  </si>
  <si>
    <t>15 Oct 1841</t>
  </si>
  <si>
    <t>30 Oct 1842</t>
  </si>
  <si>
    <t>18 Oct 1843</t>
  </si>
  <si>
    <t>14 Dec 1844</t>
  </si>
  <si>
    <t>8 Dec 1846</t>
  </si>
  <si>
    <t>15 Feb 1852</t>
  </si>
  <si>
    <t>Annualized</t>
  </si>
  <si>
    <t>3 Feb 1853</t>
  </si>
  <si>
    <t>7 Feb 1854</t>
  </si>
  <si>
    <t>5 Feb 1855</t>
  </si>
  <si>
    <t>28 Feb 1857</t>
  </si>
  <si>
    <t>6 Feb 1858</t>
  </si>
  <si>
    <t>1 March 1859</t>
  </si>
  <si>
    <t>1 Feb 1862</t>
  </si>
  <si>
    <t>20 Feb 1864</t>
  </si>
  <si>
    <t>18 Feb 1866</t>
  </si>
  <si>
    <t>13 May 1867</t>
  </si>
  <si>
    <t>13 Feb 1868</t>
  </si>
  <si>
    <t>11 June 1869</t>
  </si>
  <si>
    <t>7 Mar 1870</t>
  </si>
  <si>
    <t>18 Mar 1871</t>
  </si>
  <si>
    <t>4 Feb 1871</t>
  </si>
  <si>
    <t>26 Feb 1872</t>
  </si>
  <si>
    <t>9 Mar 1875</t>
  </si>
  <si>
    <t>15 Feb 1876</t>
  </si>
  <si>
    <t>7 Jan 1878</t>
  </si>
  <si>
    <t>9 May 1881</t>
  </si>
  <si>
    <t>ND</t>
  </si>
  <si>
    <t>7 Feb 1881</t>
  </si>
  <si>
    <t>30 Jan 1882</t>
  </si>
  <si>
    <t>13 Feb 1883</t>
  </si>
  <si>
    <t>10 Mar 1884</t>
  </si>
  <si>
    <t>20 Mar 1886</t>
  </si>
  <si>
    <t>31 Dec 1886</t>
  </si>
  <si>
    <t>(I/15)*12</t>
  </si>
  <si>
    <t>BUDGET</t>
  </si>
  <si>
    <t>Market Inspector</t>
  </si>
  <si>
    <t>Market Administrator</t>
  </si>
  <si>
    <t>Administrator of Leper Asylum</t>
  </si>
  <si>
    <t>Vaccinator</t>
  </si>
  <si>
    <t>Notary</t>
  </si>
  <si>
    <t>Lawyer</t>
  </si>
  <si>
    <t>Municipal Engineers</t>
  </si>
  <si>
    <t>Porteiro's aide</t>
  </si>
  <si>
    <t>Procurador's aide</t>
  </si>
  <si>
    <t>Dredging of vallas (channels, canals)</t>
  </si>
  <si>
    <t>Numbering the houses of the city by subcontract</t>
  </si>
  <si>
    <t>Poison to kill dogs</t>
  </si>
  <si>
    <t>Repairs to hospital</t>
  </si>
  <si>
    <t>Repairs to the jail</t>
  </si>
  <si>
    <t>Repairs to weapons</t>
  </si>
  <si>
    <t>Gallows repair, and transport of bodies to cemetery</t>
  </si>
  <si>
    <t>Costs related to enforcing posturas</t>
  </si>
  <si>
    <t>Subsidies to various schools</t>
  </si>
  <si>
    <t>Set of weights and measures for new metric system</t>
  </si>
  <si>
    <t>Fees of the Municipal Jury</t>
  </si>
  <si>
    <t>Value of missing accouts/pages</t>
  </si>
  <si>
    <t>Debt owed from 1883</t>
  </si>
  <si>
    <t>Interest on Debt</t>
  </si>
  <si>
    <t>Interest and Amortization of consolidated debt</t>
  </si>
  <si>
    <t>ALESP Campinas collection</t>
  </si>
  <si>
    <t>ALESP Araraquara collection</t>
  </si>
  <si>
    <t>1835-1836</t>
  </si>
  <si>
    <t>1836-1837</t>
  </si>
  <si>
    <t>1844-1845</t>
  </si>
  <si>
    <t>1846-1847</t>
  </si>
  <si>
    <t>1847-1848</t>
  </si>
  <si>
    <t>1849-1850</t>
  </si>
  <si>
    <t>Actual, Revenue only</t>
  </si>
  <si>
    <t>1877-1878</t>
  </si>
  <si>
    <t>(R/15)*12</t>
  </si>
  <si>
    <t>Naturalization Tax</t>
  </si>
  <si>
    <t>Novos e velhos direitos municipaes</t>
  </si>
  <si>
    <t>Misc minor revenues</t>
  </si>
  <si>
    <t>Sale of municipal lands and materials</t>
  </si>
  <si>
    <t>Illegible accounts</t>
  </si>
  <si>
    <t>Donations from citizens for public works/loans from citizens</t>
  </si>
  <si>
    <t>Deficit to be amortized with loan authorized by law</t>
  </si>
  <si>
    <t>ALESP Araraquara document number</t>
  </si>
  <si>
    <t>ALESP Campinas document number</t>
  </si>
  <si>
    <t>Aguardente e licores (aguardente and other alcohol)</t>
  </si>
  <si>
    <t>Armazens e botequins (warehouses and bars)</t>
  </si>
  <si>
    <t>Armazens, botequins e tavernas (warehouses, bars and taverns)</t>
  </si>
  <si>
    <t>Padarias (bakeries)</t>
  </si>
  <si>
    <t>Carimbos (stamp/inspection seal)</t>
  </si>
  <si>
    <t>Artes e profissões, indústrias (Industries and Professions)</t>
  </si>
  <si>
    <t>Carros em geral (cars in general)</t>
  </si>
  <si>
    <t>Dentistas, barbeiros, tiradentes (dentists, barbers, toothpullers)</t>
  </si>
  <si>
    <t>Fumo, toucinho, e carne fresca (tobacco, lard, and fresh meat)</t>
  </si>
  <si>
    <t>Aguardente, fumo, toucinho, carros etc (aguardente, tobacco, lard, cars etc)</t>
  </si>
  <si>
    <t>Quitandeiras (greengrocers)</t>
  </si>
  <si>
    <t>Enfermarias (infirmaries)</t>
  </si>
  <si>
    <t>Joias, ouro e prata, negociantes (sellers of semiprecious jewels, gold and silver)</t>
  </si>
  <si>
    <t>Profissoes liberais (liberal professions: lawyer, doctor, notary)</t>
  </si>
  <si>
    <t>Diversas (miscellaneous)</t>
  </si>
  <si>
    <t>Muros of 1st, 2nd, and 3rd quadro (tax on walls in central district)</t>
  </si>
  <si>
    <t>Novo imposto sobre vendas 6$400 (New Tax on warehouse, bars)</t>
  </si>
  <si>
    <t>Salgas de couros (tannery)</t>
  </si>
  <si>
    <t>Negociantes de escravos (slave merchants)</t>
  </si>
  <si>
    <t>Multas (fines)</t>
  </si>
  <si>
    <t>Money collected in the local branch of Banco do Brazil</t>
  </si>
  <si>
    <t>Money in the local branch of Banco do Brazil for works on public slaughterhouse</t>
  </si>
  <si>
    <t>Money received from Provincial Treasurey for jail works</t>
  </si>
  <si>
    <t>Actual partial</t>
  </si>
  <si>
    <t xml:space="preserve">shift to </t>
  </si>
  <si>
    <t>calendar fiscal year</t>
  </si>
  <si>
    <t>Cemetery Zelador/Adminsitrator</t>
  </si>
  <si>
    <t>Matadouro (slaughterhouse) workers and expenses</t>
  </si>
  <si>
    <t>Matadouro (slaughterhouse) Inspector</t>
  </si>
  <si>
    <t>Matadouro (slaughterhouse) Veterinarian</t>
  </si>
  <si>
    <r>
      <t>Aferidor (</t>
    </r>
    <r>
      <rPr>
        <sz val="11"/>
        <color rgb="FF000000"/>
        <rFont val="Calibri"/>
        <family val="2"/>
        <scheme val="minor"/>
      </rPr>
      <t>Weights and Measures inspector): percentage</t>
    </r>
  </si>
  <si>
    <t>Coveiro-2 (tso gravediggers)</t>
  </si>
  <si>
    <t>Salario do carceireiro da Cadea (salary of jailkeeper)</t>
  </si>
  <si>
    <t>Guardas Municipais - 2 (two municipal guards)</t>
  </si>
  <si>
    <t>Fiscal da freguesia da Conceicao (city inspector for Conceicao parish)</t>
  </si>
  <si>
    <t>Fiscal da freguesia de Santa Cruz  (city inspector for Santa Cruz parish)</t>
  </si>
  <si>
    <t>Fiscaes das duas freguesias  (city inspectors for both parishes)</t>
  </si>
  <si>
    <t>Porteiro (municipal council doorman)</t>
  </si>
  <si>
    <t>Empregados (municipal employees)</t>
  </si>
  <si>
    <r>
      <t>Advogado da C</t>
    </r>
    <r>
      <rPr>
        <sz val="11"/>
        <color theme="1"/>
        <rFont val="Tahoma"/>
        <family val="2"/>
      </rPr>
      <t>â</t>
    </r>
    <r>
      <rPr>
        <sz val="11"/>
        <color theme="1"/>
        <rFont val="Calibri"/>
        <family val="2"/>
        <scheme val="minor"/>
      </rPr>
      <t>mara Municipal (municipal lawyer)</t>
    </r>
  </si>
  <si>
    <t>Procurador (municipal tax collector)</t>
  </si>
  <si>
    <r>
      <t>Secret</t>
    </r>
    <r>
      <rPr>
        <sz val="11"/>
        <color theme="1"/>
        <rFont val="Calibri"/>
        <family val="2"/>
      </rPr>
      <t>á</t>
    </r>
    <r>
      <rPr>
        <sz val="11"/>
        <color theme="1"/>
        <rFont val="Calibri"/>
        <family val="2"/>
        <scheme val="minor"/>
      </rPr>
      <t>rio (Secretary of the municipal council)</t>
    </r>
  </si>
  <si>
    <t>Porteiro e adjudantes (porteiro and his aides)</t>
  </si>
  <si>
    <t>Procurador (Tax collector, generally earning a percentage)</t>
  </si>
  <si>
    <t>Procurador's additional 6% on tax collected on coffee</t>
  </si>
  <si>
    <t>Obras Públicas (Public Works) including conservation and expropriations</t>
  </si>
  <si>
    <r>
      <t>Obras P</t>
    </r>
    <r>
      <rPr>
        <sz val="11"/>
        <color theme="1"/>
        <rFont val="Calibri"/>
        <family val="2"/>
      </rPr>
      <t>ú</t>
    </r>
    <r>
      <rPr>
        <sz val="11"/>
        <color theme="1"/>
        <rFont val="Calibri"/>
        <family val="2"/>
        <scheme val="minor"/>
      </rPr>
      <t>blicas (Public Works) including expropriations</t>
    </r>
  </si>
  <si>
    <t>Public Works, lighting, expropriation, debt amortization</t>
  </si>
  <si>
    <t>Limpeza (streets and sanitation) and upkeep</t>
  </si>
  <si>
    <t>Extinction of dogs and other animals, removal of dead animals from municipal streets</t>
  </si>
  <si>
    <t>Supplement to the isolation hospital, medicine, clothes for the ill</t>
  </si>
  <si>
    <t>Asilo dos morfeticos (Lepers' asylum)</t>
  </si>
  <si>
    <t>Limpeza da cadeia (cleaning the jail)</t>
  </si>
  <si>
    <t>Expediente do Jury e custos judiciais (jury business and judicial costs)</t>
  </si>
  <si>
    <t>Expediente do Jury e eleicoes (jury business and election expenses)</t>
  </si>
  <si>
    <t>Custas atrasadas (past due judicial costs)</t>
  </si>
  <si>
    <t>Custas do ano (annual judicial costs)</t>
  </si>
  <si>
    <t>Custas do ano (judicial costs)</t>
  </si>
  <si>
    <t>Sustento a prezos pobres  sustenance for poor prisoners)</t>
  </si>
  <si>
    <t>Sustento a prezos pobres (sustenance for poor prisoners)</t>
  </si>
  <si>
    <t>Sustento e curativo de prezos pobres (sustenance and medical care for poor prisoners)</t>
  </si>
  <si>
    <t>Illuminação na cadeia (lighting for the jail)</t>
  </si>
  <si>
    <t>Illuminação e limpeza na cadeia (lighting and cleaning for the jail)</t>
  </si>
  <si>
    <t>Illuminação da cadeia, objetos p/ cadeia, eleicoes (lighitng for the jail, supplies for the jail, elections)</t>
  </si>
  <si>
    <t>Illuminação e concertos (lighting and repairs)</t>
  </si>
  <si>
    <t>Illuminação e água  na cadeia (lighting and water for the jail)</t>
  </si>
  <si>
    <t>Misc supplies for cadeia (jail)</t>
  </si>
  <si>
    <t>Supplies for the Municipal Police Guard</t>
  </si>
  <si>
    <t>Custas judiciaes em geral (general judicial costs)</t>
  </si>
  <si>
    <t>Meias Custas (judicial half costs)</t>
  </si>
  <si>
    <t>Meias Custas of jury trials (judicial half costs)</t>
  </si>
  <si>
    <t>Matadouro (Municipal slaughterhouse) repairs and upkeep</t>
  </si>
  <si>
    <t>New Matadouro (municipal slaughterhouse)</t>
  </si>
  <si>
    <t>Furniture, supplies, books, paper for the municipal council</t>
  </si>
  <si>
    <t>Eventuaes and percentage to procurador (Occasional expenses and percentage due to the tax collector)</t>
  </si>
  <si>
    <t>Eventuais/Despezas gerais (Occasional/miscellaneous expenses)</t>
  </si>
  <si>
    <t>Payment made to citizen, repaying loan</t>
  </si>
  <si>
    <t>Money turned over to Collector from Aguardente tax from 1 July to 30 September 1850</t>
  </si>
  <si>
    <t>Money earmarked for amortization of municipal loan</t>
  </si>
  <si>
    <t xml:space="preserve">Custas (costs) on collection of Council's debt </t>
  </si>
  <si>
    <t>esp 013</t>
  </si>
  <si>
    <t>esp 014</t>
  </si>
  <si>
    <t>esp 016</t>
  </si>
  <si>
    <t>esp 025</t>
  </si>
  <si>
    <t>esp 026</t>
  </si>
  <si>
    <t>esp 035</t>
  </si>
  <si>
    <t>esp 039</t>
  </si>
  <si>
    <t>esp 045</t>
  </si>
  <si>
    <t>esp 054</t>
  </si>
  <si>
    <t>esp 071</t>
  </si>
  <si>
    <t>ESP 093</t>
  </si>
  <si>
    <t>ESP 091</t>
  </si>
  <si>
    <t>45/46</t>
  </si>
  <si>
    <t>1 Oct 49-12 Dec 1850</t>
  </si>
  <si>
    <t>1849/50</t>
  </si>
  <si>
    <t>1 Oct 50-12 Dec 1851</t>
  </si>
  <si>
    <t>1850/51</t>
  </si>
  <si>
    <t>1H1862</t>
  </si>
  <si>
    <t>1862-1863</t>
  </si>
  <si>
    <t>1863-1864</t>
  </si>
  <si>
    <t>1864-1865</t>
  </si>
  <si>
    <t>1865-1866</t>
  </si>
  <si>
    <t>1866-1867</t>
  </si>
  <si>
    <t>1867-1868</t>
  </si>
  <si>
    <t>1868-1869</t>
  </si>
  <si>
    <t>1869-1870</t>
  </si>
  <si>
    <t>1870-1871</t>
  </si>
  <si>
    <t>1871-1872</t>
  </si>
  <si>
    <t>1872-1873</t>
  </si>
  <si>
    <t>1873-1874</t>
  </si>
  <si>
    <t>1874-1875</t>
  </si>
  <si>
    <t>1875-1876</t>
  </si>
  <si>
    <t>1878-1879</t>
  </si>
  <si>
    <t>16 Jan 1852</t>
  </si>
  <si>
    <t>3 Jan 1853</t>
  </si>
  <si>
    <t>20 Jan 1854</t>
  </si>
  <si>
    <t>12 Jan 1855</t>
  </si>
  <si>
    <t>12 Jan 1856</t>
  </si>
  <si>
    <t>15 Jan 1858</t>
  </si>
  <si>
    <t>29 Jan 1859</t>
  </si>
  <si>
    <t>23 Jan 1860</t>
  </si>
  <si>
    <t>5 Jan 1861</t>
  </si>
  <si>
    <t>25 Jan 1862</t>
  </si>
  <si>
    <t>2 May 1863</t>
  </si>
  <si>
    <t>29 Aug 1863</t>
  </si>
  <si>
    <t>5 Aug 1864</t>
  </si>
  <si>
    <t>27 Oct 1866</t>
  </si>
  <si>
    <t>4 July 1867</t>
  </si>
  <si>
    <t>1 July 1869</t>
  </si>
  <si>
    <t>8 July 1870</t>
  </si>
  <si>
    <t>17 July 1871</t>
  </si>
  <si>
    <t>13 July 1872</t>
  </si>
  <si>
    <t>9 Sept 1873</t>
  </si>
  <si>
    <t>24 July 1875</t>
  </si>
  <si>
    <t>16 Aug 1875</t>
  </si>
  <si>
    <t>13 April 1877</t>
  </si>
  <si>
    <t>20 July 1877</t>
  </si>
  <si>
    <t>3 Sept 1878</t>
  </si>
  <si>
    <t>12 July 1879</t>
  </si>
  <si>
    <t>6 August 1880</t>
  </si>
  <si>
    <t>17 Nov 1883</t>
  </si>
  <si>
    <t>6 Dec 1884</t>
  </si>
  <si>
    <t>10 Nov 1888</t>
  </si>
  <si>
    <t>11 Nov 1835</t>
  </si>
  <si>
    <t>5 Nov 1837</t>
  </si>
  <si>
    <t>30 Oct 1837</t>
  </si>
  <si>
    <t>24 Dec 1839</t>
  </si>
  <si>
    <t>6 Nov 1840</t>
  </si>
  <si>
    <t>18 Jan 1844</t>
  </si>
  <si>
    <t>3 Dec 1844</t>
  </si>
  <si>
    <t>13 Oct 1849</t>
  </si>
  <si>
    <t>18 Jan 1851</t>
  </si>
  <si>
    <t>Receitas only</t>
  </si>
  <si>
    <t>july to june</t>
  </si>
  <si>
    <t>Balance from previous year</t>
  </si>
  <si>
    <t>Bridge tolls and taxes</t>
  </si>
  <si>
    <t>Hotel</t>
  </si>
  <si>
    <t>Sale of two balance scales</t>
  </si>
  <si>
    <t>Money returned for salary overpayt</t>
  </si>
  <si>
    <t>Collection of accounts receivable</t>
  </si>
  <si>
    <t>ALESP Franca collection</t>
  </si>
  <si>
    <t>ALESP Franca document number</t>
  </si>
  <si>
    <t>Coveiro (gravedigger)</t>
  </si>
  <si>
    <t>Jail keeper</t>
  </si>
  <si>
    <t>Moving and improvement expenses of interim jail</t>
  </si>
  <si>
    <t>Elections</t>
  </si>
  <si>
    <t>Municipal buildings:  purchase</t>
  </si>
  <si>
    <t>Payment of deficit of the prior balance sheet</t>
  </si>
  <si>
    <t>1848-1849</t>
  </si>
  <si>
    <t>Saldo com aplicação especial (balance with special application)</t>
  </si>
  <si>
    <t>Artes e profissões/Artes e indústrias (Industries and Professions)</t>
  </si>
  <si>
    <t>Cartas Didactas (educator credentials)</t>
  </si>
  <si>
    <t>Casas de telhas (tile shops)</t>
  </si>
  <si>
    <t>Jogos lícitos (legal gaming parlors)</t>
  </si>
  <si>
    <t>Droga e medicina (drugs and medicine)</t>
  </si>
  <si>
    <t>Cosmorama (a form of entertainment)</t>
  </si>
  <si>
    <t>Imposto sobre tabernas, aramazens, e botequins (tax on taverns, warehouses, bars)</t>
  </si>
  <si>
    <t>Novo imposto de 6$400 sobre tavernas, armazens, botequins  (New Tax on taverns, warehouses, bars)</t>
  </si>
  <si>
    <t>Rezes abatidas no matadouro (cattled slaughtered in the slaughterhouse)</t>
  </si>
  <si>
    <t>Joias, mascateação de (peddlers of semiprecious gems)</t>
  </si>
  <si>
    <t>Catacumbas (catacombs)</t>
  </si>
  <si>
    <t>Subsídio literário (literary subsidy tax)</t>
  </si>
  <si>
    <t>Prédios urbanos (tax on rental value of urban buildings)</t>
  </si>
  <si>
    <t>Predial recebido na Coletoria (building tax received at the provincial tax collecting station)</t>
  </si>
  <si>
    <t>Licenças para casas de negócios e outras (licenses for places of business and others, as set by ordinances)</t>
  </si>
  <si>
    <t>Licenças diversas/Impostos diversos (Miscellaneous licences and taxes)</t>
  </si>
  <si>
    <t>Data de terreno concedida (registry for land grants)</t>
  </si>
  <si>
    <t>Balance received from provincial treasury for viaduct and water fountain</t>
  </si>
  <si>
    <t xml:space="preserve">Money authorized by the Provincial Assembly for works on cemetery </t>
  </si>
  <si>
    <t>Money received from Provincial Treasury for works on jail</t>
  </si>
  <si>
    <t>Annual Revenues (total minus balance forward)</t>
  </si>
  <si>
    <t>Annual Revenues (Total less balance carried forward/Saldo)</t>
  </si>
  <si>
    <t>Annual Expenditures (Total less deficit carried forward)</t>
  </si>
  <si>
    <t>Annual Revenues (Total less balance forward/Saldo)</t>
  </si>
  <si>
    <t>Annual Surplus or Deficit</t>
  </si>
  <si>
    <t>Gratificações/Salaries:</t>
  </si>
  <si>
    <t>Secretário (Secretary of the municipal council)</t>
  </si>
  <si>
    <t>Adjuntes de Fiscal - 2 (two aides to the municipal inspector)</t>
  </si>
  <si>
    <t>Fiscais das Freguezias - 2 (two inspectors for the parishes)</t>
  </si>
  <si>
    <t>Advogado (municipal lawyer)</t>
  </si>
  <si>
    <t>Procurador (Tax collector, generally earning a percentage of taxes collected)</t>
  </si>
  <si>
    <t>Procurador (Tax collector), percentage from the taxes with special application</t>
  </si>
  <si>
    <t>Bridge toll collector, percentage</t>
  </si>
  <si>
    <t>Aferidor (Weights and Measures inspector), percentage</t>
  </si>
  <si>
    <t>Zelador do Matadouro (Slaughterhouse keeper)</t>
  </si>
  <si>
    <t>Aferidor, Fiscal, e Procurador (weights and measures inspector, municipal inspector, and tax collector)</t>
  </si>
  <si>
    <t>Procurador da Igreja (tax collector for the Church)</t>
  </si>
  <si>
    <t>Porcentagem ao Procurador, Fiscais e Aferidor (percentage paid to tax collector, municipal inspectors, and weights and measures inspector)</t>
  </si>
  <si>
    <r>
      <t>Cal</t>
    </r>
    <r>
      <rPr>
        <sz val="11"/>
        <color theme="1"/>
        <rFont val="Calibri"/>
        <family val="2"/>
      </rPr>
      <t>ç</t>
    </r>
    <r>
      <rPr>
        <sz val="11"/>
        <color theme="1"/>
        <rFont val="Calibri"/>
        <family val="2"/>
        <scheme val="minor"/>
      </rPr>
      <t>amento de ruas (street paving)</t>
    </r>
  </si>
  <si>
    <r>
      <t>Custeio e combust</t>
    </r>
    <r>
      <rPr>
        <sz val="11"/>
        <color theme="1"/>
        <rFont val="Calibri"/>
        <family val="2"/>
      </rPr>
      <t>í</t>
    </r>
    <r>
      <rPr>
        <sz val="11"/>
        <color theme="1"/>
        <rFont val="Calibri"/>
        <family val="2"/>
        <scheme val="minor"/>
      </rPr>
      <t>vel para illumina</t>
    </r>
    <r>
      <rPr>
        <sz val="11"/>
        <color theme="1"/>
        <rFont val="Calibri"/>
        <family val="2"/>
      </rPr>
      <t>çã</t>
    </r>
    <r>
      <rPr>
        <sz val="11"/>
        <color theme="1"/>
        <rFont val="Calibri"/>
        <family val="2"/>
        <scheme val="minor"/>
      </rPr>
      <t>o p</t>
    </r>
    <r>
      <rPr>
        <sz val="11"/>
        <color theme="1"/>
        <rFont val="Calibri"/>
        <family val="2"/>
      </rPr>
      <t>ú</t>
    </r>
    <r>
      <rPr>
        <sz val="11"/>
        <color theme="1"/>
        <rFont val="Calibri"/>
        <family val="2"/>
        <scheme val="minor"/>
      </rPr>
      <t>blica (maintenance and fuel for public lighting network)</t>
    </r>
  </si>
  <si>
    <t>Obras Públicas, inclusive as de aplicação especial (Public Works, including those with special application)</t>
  </si>
  <si>
    <t>Illuminação da cidade (city lighting)</t>
  </si>
  <si>
    <t>Viaduct and chafariz (money from provincial treasurey for viaduct and fountain)</t>
  </si>
  <si>
    <r>
      <rPr>
        <sz val="11"/>
        <color theme="1"/>
        <rFont val="Calibri"/>
        <family val="2"/>
      </rPr>
      <t>Á</t>
    </r>
    <r>
      <rPr>
        <sz val="11"/>
        <color theme="1"/>
        <rFont val="Calibri"/>
        <family val="2"/>
        <scheme val="minor"/>
      </rPr>
      <t>gua e limpeza da cadeia (water and cleaning for the jail)</t>
    </r>
  </si>
  <si>
    <r>
      <t>Illuminação e di</t>
    </r>
    <r>
      <rPr>
        <sz val="11"/>
        <color theme="1"/>
        <rFont val="Calibri"/>
        <family val="2"/>
      </rPr>
      <t>á</t>
    </r>
    <r>
      <rPr>
        <sz val="11"/>
        <color theme="1"/>
        <rFont val="Calibri"/>
        <family val="2"/>
        <scheme val="minor"/>
      </rPr>
      <t>ria para a Guarda Policial (Lighting and per diem for the Police Guard)</t>
    </r>
  </si>
  <si>
    <t>Luzes e limpeza da cadeia (lights and cleaning for the jail)</t>
  </si>
  <si>
    <r>
      <t>Concerto and supplies para Cadeia p</t>
    </r>
    <r>
      <rPr>
        <sz val="11"/>
        <color theme="1"/>
        <rFont val="Calibri"/>
        <family val="2"/>
      </rPr>
      <t>ú</t>
    </r>
    <r>
      <rPr>
        <sz val="11"/>
        <color theme="1"/>
        <rFont val="Calibri"/>
        <family val="2"/>
        <scheme val="minor"/>
      </rPr>
      <t>blica (repairs and supplies for the public jail)</t>
    </r>
  </si>
  <si>
    <t>Rent on a room to hold prisoners while interim jail is being built</t>
  </si>
  <si>
    <t>Sustento a presos pobres (Sustento a prezos pobres (sustenance for poor prisoners)</t>
  </si>
  <si>
    <t>Expediente do Jury e custas (jury business, judicial costs)</t>
  </si>
  <si>
    <r>
      <t>Expediente do Jury, custas, e d</t>
    </r>
    <r>
      <rPr>
        <sz val="11"/>
        <color theme="1"/>
        <rFont val="Calibri"/>
        <family val="2"/>
      </rPr>
      <t>í</t>
    </r>
    <r>
      <rPr>
        <sz val="11"/>
        <color theme="1"/>
        <rFont val="Calibri"/>
        <family val="2"/>
        <scheme val="minor"/>
      </rPr>
      <t>vida passiva (jury business, judicial costs, accounts payable)</t>
    </r>
  </si>
  <si>
    <t>Mercado (public market)</t>
  </si>
  <si>
    <t>Matadouro (public slaughterhouse)</t>
  </si>
  <si>
    <r>
      <t>Cemit</t>
    </r>
    <r>
      <rPr>
        <sz val="11"/>
        <color theme="1"/>
        <rFont val="Calibri"/>
        <family val="2"/>
      </rPr>
      <t>é</t>
    </r>
    <r>
      <rPr>
        <sz val="11"/>
        <color theme="1"/>
        <rFont val="Calibri"/>
        <family val="2"/>
        <scheme val="minor"/>
      </rPr>
      <t>rio (public cemitery)</t>
    </r>
  </si>
  <si>
    <t>Igreja Matriz (principal church)</t>
  </si>
  <si>
    <t>Municipal buildings:  taxes on</t>
  </si>
  <si>
    <t>Festejo Nacional (Days of national festivity)</t>
  </si>
  <si>
    <t>Purchase of land for corral of the Municipal Council</t>
  </si>
  <si>
    <t>Sellos (stamps to affix to official documents)</t>
  </si>
  <si>
    <t>Principal and interest for works on the Igreja Matriz (principal church)</t>
  </si>
  <si>
    <r>
      <t>Debt to the Jury Virg</t>
    </r>
    <r>
      <rPr>
        <sz val="11"/>
        <color theme="1"/>
        <rFont val="Calibri"/>
        <family val="2"/>
      </rPr>
      <t>í</t>
    </r>
    <r>
      <rPr>
        <sz val="11"/>
        <color theme="1"/>
        <rFont val="Calibri"/>
        <family val="2"/>
        <scheme val="minor"/>
      </rPr>
      <t>lio Gomes Guimar</t>
    </r>
    <r>
      <rPr>
        <sz val="11"/>
        <color theme="1"/>
        <rFont val="Calibri"/>
        <family val="2"/>
      </rPr>
      <t>ã</t>
    </r>
    <r>
      <rPr>
        <sz val="11"/>
        <color theme="1"/>
        <rFont val="Calibri"/>
        <family val="2"/>
        <scheme val="minor"/>
      </rPr>
      <t>es</t>
    </r>
  </si>
  <si>
    <t>(despeza details only)</t>
  </si>
  <si>
    <t>22 Dec 1877</t>
  </si>
  <si>
    <t>31 Mar 1881</t>
  </si>
  <si>
    <t>14 Dec 1878</t>
  </si>
  <si>
    <t>20 Mar 1882</t>
  </si>
  <si>
    <t>7 Jan 1883</t>
  </si>
  <si>
    <t>24 Feb 1884</t>
  </si>
  <si>
    <t>13 Feb 1885</t>
  </si>
  <si>
    <t>Rental Properties</t>
  </si>
  <si>
    <t>Street vendors of local and imported products</t>
  </si>
  <si>
    <t>Total and Annual Revenues</t>
  </si>
  <si>
    <t>ALESP Ribeirao Preto collection</t>
  </si>
  <si>
    <t>ALESP Ribeirao Preto document number</t>
  </si>
  <si>
    <t>Fiscal's assistant</t>
  </si>
  <si>
    <t>Taxes, Licenses, Fees on</t>
  </si>
  <si>
    <t>Botica, bilhares, hotel (druggist, billiards, hotel)</t>
  </si>
  <si>
    <r>
      <t>Cart</t>
    </r>
    <r>
      <rPr>
        <sz val="11"/>
        <rFont val="Calibri"/>
        <family val="2"/>
      </rPr>
      <t>ó</t>
    </r>
    <r>
      <rPr>
        <sz val="11"/>
        <rFont val="Calibri"/>
        <family val="2"/>
        <scheme val="minor"/>
      </rPr>
      <t>rios e escript</t>
    </r>
    <r>
      <rPr>
        <sz val="11"/>
        <rFont val="Calibri"/>
        <family val="2"/>
      </rPr>
      <t>ó</t>
    </r>
    <r>
      <rPr>
        <sz val="11"/>
        <rFont val="Calibri"/>
        <family val="2"/>
        <scheme val="minor"/>
      </rPr>
      <t>rios (notaries and offices)</t>
    </r>
  </si>
  <si>
    <t>Funileiro (tinsmith)</t>
  </si>
  <si>
    <t>Hoteis, botequins, restaurantes (hotels, bars, restaurants)</t>
  </si>
  <si>
    <t>Joias (semiprecious gems)</t>
  </si>
  <si>
    <t>Olaria (pottery or tile workshops)</t>
  </si>
  <si>
    <t>Vacas leiteiras (milk cows)</t>
  </si>
  <si>
    <t>Aferidor (Weights and Measures inspector)</t>
  </si>
  <si>
    <t>Advogado (Lawyer of the Municipal Council)</t>
  </si>
  <si>
    <t>Arruador (city planner)</t>
  </si>
  <si>
    <t>Fiscal's (inspector's) assistant</t>
  </si>
  <si>
    <t>Eventuais e Procurador (Occasional salaries and tax collector)</t>
  </si>
  <si>
    <t>Illuminação Pública (public lighting)</t>
  </si>
  <si>
    <t>Obras Públicas (Public Works) including expropriations</t>
  </si>
  <si>
    <t>Limpeza pública (streets and sanitation)</t>
  </si>
  <si>
    <t>Extinção de caes (stray dog extermination)</t>
  </si>
  <si>
    <r>
      <t>Hygiene P</t>
    </r>
    <r>
      <rPr>
        <sz val="11"/>
        <color theme="1"/>
        <rFont val="Calibri"/>
        <family val="2"/>
      </rPr>
      <t>ú</t>
    </r>
    <r>
      <rPr>
        <sz val="11"/>
        <color theme="1"/>
        <rFont val="Calibri"/>
        <family val="2"/>
        <scheme val="minor"/>
      </rPr>
      <t>blica (public hygiene)</t>
    </r>
  </si>
  <si>
    <t>Luzes da cadeia e sustento dos prezos pobres (Lighting for the jail and sustenance of poor prisoners)</t>
  </si>
  <si>
    <t>Meias Custas (half court costs)</t>
  </si>
  <si>
    <t>esp 015</t>
  </si>
  <si>
    <t>esp 027</t>
  </si>
  <si>
    <t>esp 029</t>
  </si>
  <si>
    <t>esp 038</t>
  </si>
  <si>
    <t>esp 043</t>
  </si>
  <si>
    <t>esp 055</t>
  </si>
  <si>
    <t>esp 063</t>
  </si>
  <si>
    <t>esp 076</t>
  </si>
  <si>
    <t>esp 070</t>
  </si>
  <si>
    <t>esp 081</t>
  </si>
  <si>
    <t>30 Nov 1845</t>
  </si>
  <si>
    <t>12 Dec 1846</t>
  </si>
  <si>
    <t>29 Jan 1851</t>
  </si>
  <si>
    <t>X Mar 1852</t>
  </si>
  <si>
    <t>5 Feb 1853</t>
  </si>
  <si>
    <t>2 Feb 1854</t>
  </si>
  <si>
    <t>6 Jan 1857</t>
  </si>
  <si>
    <t>14 Jan 1858</t>
  </si>
  <si>
    <t>17 Jan 1859</t>
  </si>
  <si>
    <t>13 Feb 1860</t>
  </si>
  <si>
    <t>16 Jan 1862</t>
  </si>
  <si>
    <t>8 Oct 1863</t>
  </si>
  <si>
    <t>18 April 1865</t>
  </si>
  <si>
    <t>28 Sept 1865</t>
  </si>
  <si>
    <t>17 March 1868</t>
  </si>
  <si>
    <t>30 Jan 1871</t>
  </si>
  <si>
    <t>X Dec 1872</t>
  </si>
  <si>
    <t>30 June 1873</t>
  </si>
  <si>
    <t>2 Mar 1875</t>
  </si>
  <si>
    <t>19 Jan 1876</t>
  </si>
  <si>
    <t>12 Nov 1877</t>
  </si>
  <si>
    <t>16 Nov 1878</t>
  </si>
  <si>
    <t>25 Oct 1879</t>
  </si>
  <si>
    <t>29 Jan 1881</t>
  </si>
  <si>
    <t>13 Nov 1882</t>
  </si>
  <si>
    <t>15 Dec 1883</t>
  </si>
  <si>
    <t>28 Nov 1884</t>
  </si>
  <si>
    <t>8 Dec 1886</t>
  </si>
  <si>
    <t>24 Dec 1888</t>
  </si>
  <si>
    <t>Liquor distilleries</t>
  </si>
  <si>
    <t>Barbers</t>
  </si>
  <si>
    <t>Begging</t>
  </si>
  <si>
    <t>Book store and barber shop</t>
  </si>
  <si>
    <t>Brewery</t>
  </si>
  <si>
    <t>Brick sales</t>
  </si>
  <si>
    <t>Cigar factory and hat shop</t>
  </si>
  <si>
    <t>Funeral Casket makers</t>
  </si>
  <si>
    <t xml:space="preserve">Hats and Shoes sales </t>
  </si>
  <si>
    <t>Liberal Professionals (doctors, lawyers, notaries)</t>
  </si>
  <si>
    <t>Lumbermill</t>
  </si>
  <si>
    <t>Machinery to process coffee</t>
  </si>
  <si>
    <t>Pari (fishing net)</t>
  </si>
  <si>
    <t>Pharmacy and drugs</t>
  </si>
  <si>
    <t>Print Shops and Photography</t>
  </si>
  <si>
    <t>Rental properties</t>
  </si>
  <si>
    <t>Sale of burial plots</t>
  </si>
  <si>
    <t>Shoe makers</t>
  </si>
  <si>
    <t>Tailors</t>
  </si>
  <si>
    <t>Watches and gold objects</t>
  </si>
  <si>
    <t>Sale of municipal lands</t>
  </si>
  <si>
    <t>Administrator of Public Works</t>
  </si>
  <si>
    <t>Expropriations</t>
  </si>
  <si>
    <t>Repairs and paving of city streets</t>
  </si>
  <si>
    <t>Bridge repair</t>
  </si>
  <si>
    <t>Public Gardens</t>
  </si>
  <si>
    <t>Accounts payable, from the Provnicial treasury</t>
  </si>
  <si>
    <t>Debts, collectable and uncollectable</t>
  </si>
  <si>
    <t>ALESP Rio Claro collection</t>
  </si>
  <si>
    <t>ALESP Rio Claro document number</t>
  </si>
  <si>
    <t xml:space="preserve">Aguardente (sugar cane liquor), municipal </t>
  </si>
  <si>
    <t xml:space="preserve">Aguardente (sugar cane liquor), national </t>
  </si>
  <si>
    <t xml:space="preserve">Aguardente (sugar cane liquor), provincial </t>
  </si>
  <si>
    <t>Botequins e mercado (bars and municipal market)</t>
  </si>
  <si>
    <t>Cocheiras (carriage houses)</t>
  </si>
  <si>
    <t>Curados (curatives)</t>
  </si>
  <si>
    <t>Hoteis, Hospedarias e Padarias (hotels, boarding houses, and bakeries)</t>
  </si>
  <si>
    <t>Hoteis e botequins (hotels and bars)</t>
  </si>
  <si>
    <t>Sal (salt)</t>
  </si>
  <si>
    <t>Miscellaneous, diverse</t>
  </si>
  <si>
    <t>Molhados (wet goods, liquid foodstuffs)</t>
  </si>
  <si>
    <t>Armazens e lojas de secos e molhados (Warehouses and shops of drygoods and wet goods/liquid foodstuffs</t>
  </si>
  <si>
    <t>Fazendas e molhados (General stores, wet goods/liquid foodstuffs)</t>
  </si>
  <si>
    <t>Fazendas, molhados, ferragens, armazens, boticas (General stores, wet goods, hardware, warehouses, druggists)</t>
  </si>
  <si>
    <t>Fazendas e molhados, etc (General merchandise, wet goods/liquid foodstuffs, etc)</t>
  </si>
  <si>
    <t>Muros (walls)</t>
  </si>
  <si>
    <t>Novo Imposto de 6$400 (New Tax on warehouse, bars)</t>
  </si>
  <si>
    <t>Portas e Janelas (doors and windows)</t>
  </si>
  <si>
    <t>Olarias (pottery barns)</t>
  </si>
  <si>
    <t>Predial (building tax)</t>
  </si>
  <si>
    <t>Property, undeveloped</t>
  </si>
  <si>
    <t>Mantimentos (foodstuffs, provisions)</t>
  </si>
  <si>
    <t>Engenho da Serra (sawmill)</t>
  </si>
  <si>
    <t>Tropas soltas e pastos de aluguel (animal herds and rental pasturelands)</t>
  </si>
  <si>
    <t>Vacas e cabras de leite (milk cows and milk goats)</t>
  </si>
  <si>
    <t>Pennas d'agua (water rates)</t>
  </si>
  <si>
    <t>Money received for projects from Provincial Treasury</t>
  </si>
  <si>
    <t>Money received from an individual to pay  Council expenses</t>
  </si>
  <si>
    <t>Interest on deposit of money</t>
  </si>
  <si>
    <t>Fiscal do Jahu (municipal inspector of Jahu parish)</t>
  </si>
  <si>
    <t>Fiscal da Fregyesua de Brotas (municipal inspector of Brotas parish)</t>
  </si>
  <si>
    <t>Fiscal de Bethlehem (municipal inspector of Bethlehem parish)</t>
  </si>
  <si>
    <t>Fiscal de Itaquery (municipal inspector of Itaquery parish)</t>
  </si>
  <si>
    <t>Fiscal - 10% de multas cobradas (municipal inspector, 10% of fines collected)</t>
  </si>
  <si>
    <t>Money spent on projects financed by the Province</t>
  </si>
  <si>
    <t>Repairs improvements to Council and Jail building</t>
  </si>
  <si>
    <t>Illuminação e despesas da cadeia (lighting and expenditures for the jail)</t>
  </si>
  <si>
    <t>Custas e Meias Custas (judicial costs and half costs)</t>
  </si>
  <si>
    <t>Aposentadoria do Juiz do Direito (retirement of the judge)</t>
  </si>
  <si>
    <t>Mercado  (municipal market, annual payment on the building)</t>
  </si>
  <si>
    <t>Matadouro e mercado (municipal slaughterhouse and market)</t>
  </si>
  <si>
    <t>Purchase of set of weights and measures for calibration</t>
  </si>
  <si>
    <t>Despezas especiais (special expenses)</t>
  </si>
  <si>
    <t>esp 041</t>
  </si>
  <si>
    <t>1 Oct 1865 to 31 Dec 1865</t>
  </si>
  <si>
    <t>1H1866</t>
  </si>
  <si>
    <t>Oct 65-June66</t>
  </si>
  <si>
    <t>15 Jan 1866</t>
  </si>
  <si>
    <t>10 Jan 1867</t>
  </si>
  <si>
    <t>9 months</t>
  </si>
  <si>
    <t>8 July 1867</t>
  </si>
  <si>
    <t>18 July 1868</t>
  </si>
  <si>
    <t>29 Oct 1877</t>
  </si>
  <si>
    <t>13 Feb 1879</t>
  </si>
  <si>
    <t>29 Mar 1880</t>
  </si>
  <si>
    <t>11 Jan 1881</t>
  </si>
  <si>
    <t>27 Jan 1883</t>
  </si>
  <si>
    <t>7 Jan 1882</t>
  </si>
  <si>
    <t>20 Feb 1885</t>
  </si>
  <si>
    <t>X Jan 1886</t>
  </si>
  <si>
    <t>B+C</t>
  </si>
  <si>
    <t>Liberal Professions (Notaries, Scribes)</t>
  </si>
  <si>
    <t>1866/1877</t>
  </si>
  <si>
    <t>Balance/Deficit from year before</t>
  </si>
  <si>
    <t>Aguardente, estanque (sugar cane liquor, monopoly stores selling aguardente)</t>
  </si>
  <si>
    <t>Aguardente e carne verde (sugar cane liquor and fresh meat tax)</t>
  </si>
  <si>
    <t>Carne Verde (fresh meat)</t>
  </si>
  <si>
    <t>Empreteiros, mestres de obras (contractors, master craftsmen)</t>
  </si>
  <si>
    <t>Cabras (milk goats)</t>
  </si>
  <si>
    <t>Hoteis, hospedarias (hotels, inns)</t>
  </si>
  <si>
    <t>Lojas e Tabernas (shops and taverns)</t>
  </si>
  <si>
    <t>Novo imposto (New Tax on aguardente)</t>
  </si>
  <si>
    <t>Cartas de datas (property titles)</t>
  </si>
  <si>
    <t>Rezes e porcos abatidos (cattle and pigs slaughtered)</t>
  </si>
  <si>
    <t>Multas do Jury (jury fines)</t>
  </si>
  <si>
    <t>Multas Eventuais/Diversas (occasional, diverse fines)</t>
  </si>
  <si>
    <t>Mercado (revenue from municipal market)</t>
  </si>
  <si>
    <t>Fiscal e Porteiro (inspector and doorman)</t>
  </si>
  <si>
    <t>Obras Públicas (Public Works)</t>
  </si>
  <si>
    <t>Cemitério (public cemitery)</t>
  </si>
  <si>
    <t>Cemitério (public cemitery upkeep and repairs)</t>
  </si>
  <si>
    <t>Limpeza das ruas (street cleaning)</t>
  </si>
  <si>
    <t>Lazareto  (isolation hospital)</t>
  </si>
  <si>
    <t>Luz e limpeza da cadeia (lighting and cleaning for the jail)</t>
  </si>
  <si>
    <t>Luzes para a cadeia (lighting for the jail)</t>
  </si>
  <si>
    <t>Luzes e ferros (lighting and fetters for jail)</t>
  </si>
  <si>
    <t>Expediente do Jury (jury business)</t>
  </si>
  <si>
    <t>Despezas com Juiz de Direito (expenses for the judge)</t>
  </si>
  <si>
    <t>Mercado, aluguel (rent for public market building)</t>
  </si>
  <si>
    <t>Livros (books)</t>
  </si>
  <si>
    <t>Expediente das eleicoes (election-related expenses)</t>
  </si>
  <si>
    <t>Amount spent in fiscal year</t>
  </si>
  <si>
    <t>Total revenues collected in fiscal year</t>
  </si>
  <si>
    <t>Spending on:</t>
  </si>
  <si>
    <t xml:space="preserve">Amout received by a citizen to pay for widening the front of his property with the alignment given in his street. </t>
  </si>
  <si>
    <r>
      <t>Cemit</t>
    </r>
    <r>
      <rPr>
        <sz val="11"/>
        <color theme="1"/>
        <rFont val="Calibri"/>
        <family val="2"/>
      </rPr>
      <t>é</t>
    </r>
    <r>
      <rPr>
        <sz val="11"/>
        <color theme="1"/>
        <rFont val="Calibri"/>
        <family val="2"/>
        <scheme val="minor"/>
      </rPr>
      <t>rio (Municipal cemetery)</t>
    </r>
  </si>
  <si>
    <t>Mercado (Municipal Market)</t>
  </si>
  <si>
    <t>Matadouro (Municipal Slaughterhouse)</t>
  </si>
  <si>
    <t>Imprensa (Printing costs)</t>
  </si>
  <si>
    <t>Expediente da Intendency (Municipal business)</t>
  </si>
  <si>
    <t>Eventuais, Despezas gerais (Occasional or general expenses)</t>
  </si>
  <si>
    <r>
      <t>Pagamento da d</t>
    </r>
    <r>
      <rPr>
        <sz val="11"/>
        <color theme="1"/>
        <rFont val="Calibri"/>
        <family val="2"/>
      </rPr>
      <t>í</t>
    </r>
    <r>
      <rPr>
        <sz val="11"/>
        <color theme="1"/>
        <rFont val="Calibri"/>
        <family val="2"/>
        <scheme val="minor"/>
      </rPr>
      <t>vida passiva (Accounts payable)</t>
    </r>
  </si>
  <si>
    <t>Administrator of Matadouro (municipal slaughterhouse)</t>
  </si>
  <si>
    <t>Veterinarian of the Matadouro (municipal slaughterhouse)</t>
  </si>
  <si>
    <t>Employee who cleans Matadouro (municipal slaughterhouse)</t>
  </si>
  <si>
    <t>Procurador additional 6% on taxes collected on capitalists</t>
  </si>
  <si>
    <r>
      <t>Capina</t>
    </r>
    <r>
      <rPr>
        <sz val="11"/>
        <color theme="1"/>
        <rFont val="Calibri"/>
        <family val="2"/>
      </rPr>
      <t>çã</t>
    </r>
    <r>
      <rPr>
        <sz val="11"/>
        <color theme="1"/>
        <rFont val="Calibri"/>
        <family val="2"/>
        <scheme val="minor"/>
      </rPr>
      <t>o (weeding) of streets and public water sources</t>
    </r>
  </si>
  <si>
    <r>
      <t>Extin</t>
    </r>
    <r>
      <rPr>
        <sz val="11"/>
        <color theme="1"/>
        <rFont val="Calibri"/>
        <family val="2"/>
      </rPr>
      <t>çã</t>
    </r>
    <r>
      <rPr>
        <sz val="11"/>
        <color theme="1"/>
        <rFont val="Calibri"/>
        <family val="2"/>
        <scheme val="minor"/>
      </rPr>
      <t>o de formigueiros (anthill extermination)</t>
    </r>
  </si>
  <si>
    <r>
      <t>Illumina</t>
    </r>
    <r>
      <rPr>
        <sz val="11"/>
        <color theme="1"/>
        <rFont val="Calibri"/>
        <family val="2"/>
      </rPr>
      <t>çã</t>
    </r>
    <r>
      <rPr>
        <sz val="11"/>
        <color theme="1"/>
        <rFont val="Calibri"/>
        <family val="2"/>
        <scheme val="minor"/>
      </rPr>
      <t>o P</t>
    </r>
    <r>
      <rPr>
        <sz val="11"/>
        <color theme="1"/>
        <rFont val="Calibri"/>
        <family val="2"/>
      </rPr>
      <t>ú</t>
    </r>
    <r>
      <rPr>
        <sz val="11"/>
        <color theme="1"/>
        <rFont val="Calibri"/>
        <family val="2"/>
        <scheme val="minor"/>
      </rPr>
      <t>blica (public lighting)</t>
    </r>
  </si>
  <si>
    <r>
      <t>Obras P</t>
    </r>
    <r>
      <rPr>
        <sz val="11"/>
        <color theme="1"/>
        <rFont val="Calibri"/>
        <family val="2"/>
      </rPr>
      <t>ú</t>
    </r>
    <r>
      <rPr>
        <sz val="11"/>
        <color theme="1"/>
        <rFont val="Calibri"/>
        <family val="2"/>
        <scheme val="minor"/>
      </rPr>
      <t>blicas (public works) including expropriations</t>
    </r>
  </si>
  <si>
    <t>Hospital dos variolosos (smallpox hospital)</t>
  </si>
  <si>
    <r>
      <t>Casa de deten</t>
    </r>
    <r>
      <rPr>
        <sz val="11"/>
        <color theme="1"/>
        <rFont val="Calibri"/>
        <family val="2"/>
      </rPr>
      <t>çã</t>
    </r>
    <r>
      <rPr>
        <sz val="11"/>
        <color theme="1"/>
        <rFont val="Calibri"/>
        <family val="2"/>
        <scheme val="minor"/>
      </rPr>
      <t>o (house of detention)</t>
    </r>
  </si>
  <si>
    <r>
      <t xml:space="preserve">Luz, </t>
    </r>
    <r>
      <rPr>
        <sz val="11"/>
        <color theme="1"/>
        <rFont val="Calibri"/>
        <family val="2"/>
      </rPr>
      <t>á</t>
    </r>
    <r>
      <rPr>
        <sz val="11"/>
        <color theme="1"/>
        <rFont val="Calibri"/>
        <family val="2"/>
        <scheme val="minor"/>
      </rPr>
      <t>gua, limpeza da cadeia (lighting, water, and cleaning of jail)</t>
    </r>
  </si>
  <si>
    <t>Sustento a presos pobres (sustenance for poor prisoners)</t>
  </si>
  <si>
    <r>
      <t>Expediente da C</t>
    </r>
    <r>
      <rPr>
        <sz val="11"/>
        <color theme="1"/>
        <rFont val="Calibri"/>
        <family val="2"/>
      </rPr>
      <t>â</t>
    </r>
    <r>
      <rPr>
        <sz val="11"/>
        <color theme="1"/>
        <rFont val="Calibri"/>
        <family val="2"/>
        <scheme val="minor"/>
      </rPr>
      <t>mara (Council business)</t>
    </r>
  </si>
  <si>
    <t>Utensílios e Expediente da Câmara (Council supplies and business)</t>
  </si>
  <si>
    <t>Aluguel da casa para sessões da Câmara, Jury etc (Rent for Council and Jury meeting room)</t>
  </si>
  <si>
    <t>Fiscal da Câmara (municipal  inspector)</t>
  </si>
  <si>
    <t>Câmara's collector (porcentagem)</t>
  </si>
  <si>
    <t>Expediente da Câmara (Municipal Council business)</t>
  </si>
  <si>
    <t>Expediente da Câmara e do Jury (Municipal Council business, jury business)</t>
  </si>
  <si>
    <t>Aluguel da casa da Câmara (rent from the Council headquarters building)</t>
  </si>
  <si>
    <t>Aluguel da casa da Câmara (rent from the Council headquarters)</t>
  </si>
  <si>
    <t>Fiscal da Câmara (municipal inspector)</t>
  </si>
  <si>
    <t>Advogado da Câmara (Council lawyer)</t>
  </si>
  <si>
    <t>Casa da Câmara (Council headquarters, annual payt on the building)</t>
  </si>
  <si>
    <t>Câmara e eleições e colégio (Council and elections, and high school)</t>
  </si>
  <si>
    <t>Expediente da Câmara, Jury, e eleições (Municipal Council business, jury business)</t>
  </si>
  <si>
    <t>Aluguel da casa para sessões da Câmara, Jury etc (rent for house to hold Council meetings, jury, etc)</t>
  </si>
  <si>
    <t>Interest and payments on Câmara's debt</t>
  </si>
  <si>
    <t>Mobília para a casa da Câmara (furniture for Council headquarters)</t>
  </si>
  <si>
    <t>Concerto e limpeza da Cadeia Pública (repairs and cleaning of public jail)</t>
  </si>
  <si>
    <t>Philantropia Pública para obra (public philanthropy for works)</t>
  </si>
  <si>
    <t>Limpeza Pública/remoção de lixo (streets and sanitation/trash removal)</t>
  </si>
  <si>
    <t>Concerto da Cadeia Pública (repairs to the public jail)</t>
  </si>
  <si>
    <t>Utensílios da Câmara (Council supplies)</t>
  </si>
  <si>
    <t>Dinheiro na Coletoria para pagar dispesas feitas com (illegible) (money in the provincial treasury to pay for spending on (illegible))</t>
  </si>
  <si>
    <r>
      <t>Dinheiro recebido do Tesouro Nacional por reclama</t>
    </r>
    <r>
      <rPr>
        <sz val="11"/>
        <rFont val="Calibri"/>
        <family val="2"/>
      </rPr>
      <t>çã</t>
    </r>
    <r>
      <rPr>
        <sz val="11"/>
        <rFont val="Calibri"/>
        <family val="2"/>
        <scheme val="minor"/>
      </rPr>
      <t>o da Intendencia Municipal (money received from the national treasury by request from the municipal intendancy)</t>
    </r>
  </si>
  <si>
    <t>Dinheiro recebidos do Governo Provincial para tratamento de variolosos indigentes (money received from the provincial government to treat indigent smallpox patients)</t>
  </si>
  <si>
    <r>
      <t>Abertura de neg</t>
    </r>
    <r>
      <rPr>
        <sz val="11"/>
        <rFont val="Calibri"/>
        <family val="2"/>
      </rPr>
      <t>ó</t>
    </r>
    <r>
      <rPr>
        <sz val="11"/>
        <rFont val="Calibri"/>
        <family val="2"/>
        <scheme val="minor"/>
      </rPr>
      <t>cios (fee to open a business)</t>
    </r>
  </si>
  <si>
    <r>
      <t>Carne verde e subs</t>
    </r>
    <r>
      <rPr>
        <sz val="11"/>
        <color theme="1"/>
        <rFont val="Calibri"/>
        <family val="2"/>
      </rPr>
      <t>í</t>
    </r>
    <r>
      <rPr>
        <sz val="11"/>
        <color theme="1"/>
        <rFont val="Calibri"/>
        <family val="2"/>
        <scheme val="minor"/>
      </rPr>
      <t>dio liter</t>
    </r>
    <r>
      <rPr>
        <sz val="11"/>
        <color theme="1"/>
        <rFont val="Calibri"/>
        <family val="2"/>
      </rPr>
      <t>á</t>
    </r>
    <r>
      <rPr>
        <sz val="11"/>
        <color theme="1"/>
        <rFont val="Calibri"/>
        <family val="2"/>
        <scheme val="minor"/>
      </rPr>
      <t>rio (fresh meat and literary subsidy)</t>
    </r>
  </si>
  <si>
    <r>
      <t>Artes e profiss</t>
    </r>
    <r>
      <rPr>
        <sz val="11"/>
        <rFont val="Calibri"/>
        <family val="2"/>
      </rPr>
      <t>õ</t>
    </r>
    <r>
      <rPr>
        <sz val="11"/>
        <rFont val="Calibri"/>
        <family val="2"/>
        <scheme val="minor"/>
      </rPr>
      <t>es; artes e ind</t>
    </r>
    <r>
      <rPr>
        <sz val="11"/>
        <rFont val="Calibri"/>
        <family val="2"/>
      </rPr>
      <t>ú</t>
    </r>
    <r>
      <rPr>
        <sz val="11"/>
        <rFont val="Calibri"/>
        <family val="2"/>
        <scheme val="minor"/>
      </rPr>
      <t>strias; oficiaes de of</t>
    </r>
    <r>
      <rPr>
        <sz val="11"/>
        <rFont val="Calibri"/>
        <family val="2"/>
      </rPr>
      <t>í</t>
    </r>
    <r>
      <rPr>
        <sz val="11"/>
        <rFont val="Calibri"/>
        <family val="2"/>
        <scheme val="minor"/>
      </rPr>
      <t>cios e ind</t>
    </r>
    <r>
      <rPr>
        <sz val="11"/>
        <rFont val="Calibri"/>
        <family val="2"/>
      </rPr>
      <t>ú</t>
    </r>
    <r>
      <rPr>
        <sz val="11"/>
        <rFont val="Calibri"/>
        <family val="2"/>
        <scheme val="minor"/>
      </rPr>
      <t>strias; cart</t>
    </r>
    <r>
      <rPr>
        <sz val="11"/>
        <rFont val="Calibri"/>
        <family val="2"/>
      </rPr>
      <t>ó</t>
    </r>
    <r>
      <rPr>
        <sz val="11"/>
        <rFont val="Calibri"/>
        <family val="2"/>
        <scheme val="minor"/>
      </rPr>
      <t>rios (Industries, Arts, and Professions, Professional offices, Notaries)</t>
    </r>
  </si>
  <si>
    <r>
      <t>C</t>
    </r>
    <r>
      <rPr>
        <sz val="11"/>
        <rFont val="Calibri"/>
        <family val="2"/>
      </rPr>
      <t>ã</t>
    </r>
    <r>
      <rPr>
        <sz val="11"/>
        <rFont val="Calibri"/>
        <family val="2"/>
        <scheme val="minor"/>
      </rPr>
      <t>es permitidos soltos (dog permits)</t>
    </r>
  </si>
  <si>
    <t>Cães (dog permits)</t>
  </si>
  <si>
    <t>Carne verde (Fresh Meat tax with special application)</t>
  </si>
  <si>
    <r>
      <t>Carros e ve</t>
    </r>
    <r>
      <rPr>
        <sz val="11"/>
        <rFont val="Calibri"/>
        <family val="2"/>
      </rPr>
      <t>í</t>
    </r>
    <r>
      <rPr>
        <sz val="11"/>
        <rFont val="Calibri"/>
        <family val="2"/>
        <scheme val="minor"/>
      </rPr>
      <t>culos (car and vehicle licenses)</t>
    </r>
  </si>
  <si>
    <r>
      <t>Casas de neg</t>
    </r>
    <r>
      <rPr>
        <sz val="11"/>
        <rFont val="Calibri"/>
        <family val="2"/>
      </rPr>
      <t>ó</t>
    </r>
    <r>
      <rPr>
        <sz val="11"/>
        <rFont val="Calibri"/>
        <family val="2"/>
        <scheme val="minor"/>
      </rPr>
      <t>cio (business permits)</t>
    </r>
  </si>
  <si>
    <t>Corridas de cavalos (horse races)</t>
  </si>
  <si>
    <r>
      <t>Hoteis, bilhar, padaria, quitanda, oficiaes de of</t>
    </r>
    <r>
      <rPr>
        <sz val="11"/>
        <rFont val="Calibri"/>
        <family val="2"/>
      </rPr>
      <t>í</t>
    </r>
    <r>
      <rPr>
        <sz val="11"/>
        <rFont val="Calibri"/>
        <family val="2"/>
        <scheme val="minor"/>
      </rPr>
      <t>cio, professionaes (hotels, billiards, greengrocer, office professionals)</t>
    </r>
  </si>
  <si>
    <t>Loterias (Lottery ticket vendors)</t>
  </si>
  <si>
    <r>
      <t>Oficiaes de of</t>
    </r>
    <r>
      <rPr>
        <sz val="11"/>
        <rFont val="Calibri"/>
        <family val="2"/>
      </rPr>
      <t>í</t>
    </r>
    <r>
      <rPr>
        <sz val="11"/>
        <rFont val="Calibri"/>
        <family val="2"/>
        <scheme val="minor"/>
      </rPr>
      <t>cio e profissionaes (professional offices)</t>
    </r>
  </si>
  <si>
    <r>
      <t>Rezes e porcos abatidos, a</t>
    </r>
    <r>
      <rPr>
        <sz val="11"/>
        <rFont val="Calibri"/>
        <family val="2"/>
      </rPr>
      <t>ç</t>
    </r>
    <r>
      <rPr>
        <sz val="11"/>
        <rFont val="Calibri"/>
        <family val="2"/>
        <scheme val="minor"/>
      </rPr>
      <t>ouges (slaughter of cattle and pigs, butchers)</t>
    </r>
  </si>
  <si>
    <r>
      <t>Jogos l</t>
    </r>
    <r>
      <rPr>
        <sz val="11"/>
        <rFont val="Calibri"/>
        <family val="2"/>
      </rPr>
      <t>í</t>
    </r>
    <r>
      <rPr>
        <sz val="11"/>
        <rFont val="Calibri"/>
        <family val="2"/>
        <scheme val="minor"/>
      </rPr>
      <t>citos e bilhares (legal gaming and billiards parlors)</t>
    </r>
  </si>
  <si>
    <t>Porcos (Pigs (tax per head))</t>
  </si>
  <si>
    <t>Vacas de leite, cabras (Milk cows, goats, licenses)</t>
  </si>
  <si>
    <t>Fotografia (Photography)</t>
  </si>
  <si>
    <t>Produtos da terra (agricultural products )</t>
  </si>
  <si>
    <t>Terrenos (Property)</t>
  </si>
  <si>
    <t>Rezes e porcos abatidos (slaughter of cattle and pigs)</t>
  </si>
  <si>
    <t>Rezes mortas (slaughter of cattle)</t>
  </si>
  <si>
    <t>Multas (Fines),  assorted</t>
  </si>
  <si>
    <t>Impostos (taxes),  assorted</t>
  </si>
  <si>
    <t>Multas (fines) from Judges imposed on jurors</t>
  </si>
  <si>
    <t>Multas (fines) from Judges, diverse</t>
  </si>
  <si>
    <t>Multas (fines) from Judges and juries</t>
  </si>
  <si>
    <t>Multas (fines) on councilmen for missing meetings</t>
  </si>
  <si>
    <t>Multas (fines) for commutation of prison sentences</t>
  </si>
  <si>
    <t>Aluguel (rent) on the Council headquarters building</t>
  </si>
  <si>
    <t>Venda (sale) of materials from expropriated property</t>
  </si>
  <si>
    <t>Venda de bens municipais (sale of municipal lands, assets)</t>
  </si>
  <si>
    <t>Meia fiança quebrada (roken half-guarantee)</t>
  </si>
  <si>
    <t>Money handed in by the Procurador (tax collector)</t>
  </si>
  <si>
    <t>Mercado (Revenue from municipal market)</t>
  </si>
  <si>
    <r>
      <t>Jogos l</t>
    </r>
    <r>
      <rPr>
        <sz val="11"/>
        <color theme="1"/>
        <rFont val="Calibri"/>
        <family val="2"/>
        <scheme val="minor"/>
      </rPr>
      <t>ícitos (legal gaming parlors)</t>
    </r>
  </si>
  <si>
    <r>
      <t>Gratifica</t>
    </r>
    <r>
      <rPr>
        <sz val="11"/>
        <color theme="1"/>
        <rFont val="Calibri"/>
        <family val="2"/>
        <scheme val="minor"/>
      </rPr>
      <t>ções/Salaries:</t>
    </r>
  </si>
  <si>
    <r>
      <t>Secret</t>
    </r>
    <r>
      <rPr>
        <sz val="11"/>
        <color theme="1"/>
        <rFont val="Calibri"/>
        <family val="2"/>
        <scheme val="minor"/>
      </rPr>
      <t>ário (Secretary of the municipal council)</t>
    </r>
  </si>
  <si>
    <r>
      <t>Illuminação P</t>
    </r>
    <r>
      <rPr>
        <sz val="11"/>
        <color theme="1"/>
        <rFont val="Calibri"/>
        <family val="2"/>
        <scheme val="minor"/>
      </rPr>
      <t>ública (public lighting)</t>
    </r>
  </si>
  <si>
    <r>
      <t>Subs</t>
    </r>
    <r>
      <rPr>
        <sz val="11"/>
        <color theme="1"/>
        <rFont val="Calibri"/>
        <family val="2"/>
        <scheme val="minor"/>
      </rPr>
      <t>ídio ao passeio público (subsidy for the public promenade)</t>
    </r>
  </si>
  <si>
    <r>
      <t>Subs</t>
    </r>
    <r>
      <rPr>
        <sz val="11"/>
        <color theme="1"/>
        <rFont val="Calibri"/>
        <family val="2"/>
        <scheme val="minor"/>
      </rPr>
      <t>ídio ao jardim do largo da matriz de Santa Cruz (subsidy for the square of the head church of Santa Cruz parish)</t>
    </r>
  </si>
  <si>
    <r>
      <t>Limpeza p</t>
    </r>
    <r>
      <rPr>
        <sz val="11"/>
        <color theme="1"/>
        <rFont val="Calibri"/>
        <family val="2"/>
        <scheme val="minor"/>
      </rPr>
      <t>ública (streets and sanitation)</t>
    </r>
  </si>
  <si>
    <r>
      <t>Expediente de elei</t>
    </r>
    <r>
      <rPr>
        <sz val="11"/>
        <color theme="1"/>
        <rFont val="Calibri"/>
        <family val="2"/>
        <scheme val="minor"/>
      </rPr>
      <t>ções (elections business)</t>
    </r>
  </si>
  <si>
    <r>
      <t>Accounts payable to Cia. Illumunia</t>
    </r>
    <r>
      <rPr>
        <sz val="11"/>
        <color theme="1"/>
        <rFont val="Calibri"/>
        <family val="2"/>
        <scheme val="minor"/>
      </rPr>
      <t>ção a Gaz (Gaslight  Company)</t>
    </r>
  </si>
  <si>
    <t>Aferições e renda do mercado (weights and measures, and income from municipal market)</t>
  </si>
  <si>
    <t>Fábricas  (factories)</t>
  </si>
  <si>
    <t>Fábrica de carroças e fogos de artifício (cart factories and fireworks factories)</t>
  </si>
  <si>
    <t>Fazendas, ferragens, armarinhos, miudeses, calçados (dry goods, hardware, notions, shoes)</t>
  </si>
  <si>
    <t>Licenças diversas e alterações de vários impostos (miscellaneous licenses and changes to various taxes)</t>
  </si>
  <si>
    <t>Multas em vereadores por faltarem as sessões (fines levied on councilmen for missing meetings)</t>
  </si>
  <si>
    <t>Quebra da fiança (broken guarantor bond)</t>
  </si>
  <si>
    <r>
      <t>Zelador d'</t>
    </r>
    <r>
      <rPr>
        <sz val="11"/>
        <color theme="1"/>
        <rFont val="Calibri"/>
        <family val="2"/>
        <scheme val="minor"/>
      </rPr>
      <t>água (Water keeper)</t>
    </r>
  </si>
  <si>
    <r>
      <t>Aferidor (</t>
    </r>
    <r>
      <rPr>
        <sz val="11"/>
        <color rgb="FF000000"/>
        <rFont val="Calibri"/>
        <family val="2"/>
        <scheme val="minor"/>
      </rPr>
      <t>Weights and Measures inspector)</t>
    </r>
  </si>
  <si>
    <r>
      <t>Cemit</t>
    </r>
    <r>
      <rPr>
        <sz val="11"/>
        <color theme="1"/>
        <rFont val="Calibri"/>
        <family val="2"/>
        <scheme val="minor"/>
      </rPr>
      <t>ério, pessoal e material (cemetery, personnel and materials)</t>
    </r>
  </si>
  <si>
    <r>
      <t>Sellos e certid</t>
    </r>
    <r>
      <rPr>
        <sz val="11"/>
        <color theme="1"/>
        <rFont val="Calibri"/>
        <family val="2"/>
        <scheme val="minor"/>
      </rPr>
      <t>ões (stamps and certificates of authenticity)</t>
    </r>
  </si>
  <si>
    <r>
      <t>Levantamento de fian</t>
    </r>
    <r>
      <rPr>
        <sz val="11"/>
        <color theme="1"/>
        <rFont val="Calibri"/>
        <family val="2"/>
        <scheme val="minor"/>
      </rPr>
      <t>ça (money to pay a guarantor bond)</t>
    </r>
  </si>
  <si>
    <r>
      <t>Aguardente c/ aplica</t>
    </r>
    <r>
      <rPr>
        <sz val="11"/>
        <rFont val="Calibri"/>
        <family val="2"/>
      </rPr>
      <t>çã</t>
    </r>
    <r>
      <rPr>
        <sz val="11"/>
        <rFont val="Calibri"/>
        <family val="2"/>
        <scheme val="minor"/>
      </rPr>
      <t>o especial (tax on liquor for special use)</t>
    </r>
  </si>
  <si>
    <r>
      <t>Aguardente, café, fumo, a</t>
    </r>
    <r>
      <rPr>
        <sz val="11"/>
        <rFont val="Calibri"/>
        <family val="2"/>
      </rPr>
      <t>ç</t>
    </r>
    <r>
      <rPr>
        <sz val="11"/>
        <rFont val="Calibri"/>
        <family val="2"/>
        <scheme val="minor"/>
      </rPr>
      <t>ucar, rapadura etc (liquor, coffee, tobaco, sugar, brown sugar etc)</t>
    </r>
  </si>
  <si>
    <t>Aguardente, licores e carne verde (aquardente, other alcohol, fresh meat tax)</t>
  </si>
  <si>
    <r>
      <rPr>
        <sz val="11"/>
        <rFont val="Calibri"/>
        <family val="2"/>
      </rPr>
      <t>Á</t>
    </r>
    <r>
      <rPr>
        <sz val="11"/>
        <rFont val="Calibri"/>
        <family val="2"/>
        <scheme val="minor"/>
      </rPr>
      <t>guas pluviais (Rainwater)</t>
    </r>
  </si>
  <si>
    <r>
      <t>Cabe</t>
    </r>
    <r>
      <rPr>
        <sz val="11"/>
        <rFont val="Calibri"/>
        <family val="2"/>
      </rPr>
      <t>ç</t>
    </r>
    <r>
      <rPr>
        <sz val="11"/>
        <rFont val="Calibri"/>
        <family val="2"/>
        <scheme val="minor"/>
      </rPr>
      <t>as cortadas de aplica</t>
    </r>
    <r>
      <rPr>
        <sz val="11"/>
        <rFont val="Calibri"/>
        <family val="2"/>
      </rPr>
      <t>çã</t>
    </r>
    <r>
      <rPr>
        <sz val="11"/>
        <rFont val="Calibri"/>
        <family val="2"/>
        <scheme val="minor"/>
      </rPr>
      <t>o especial (tax on slaughtered livestock for special use)</t>
    </r>
  </si>
  <si>
    <r>
      <t>Cabe</t>
    </r>
    <r>
      <rPr>
        <sz val="11"/>
        <rFont val="Calibri"/>
        <family val="2"/>
      </rPr>
      <t>ç</t>
    </r>
    <r>
      <rPr>
        <sz val="11"/>
        <rFont val="Calibri"/>
        <family val="2"/>
        <scheme val="minor"/>
      </rPr>
      <t>s de rezes e rezes abatidos (head tax on slaughtered cattle)</t>
    </r>
  </si>
  <si>
    <r>
      <t>Cabe</t>
    </r>
    <r>
      <rPr>
        <sz val="11"/>
        <rFont val="Calibri"/>
        <family val="2"/>
      </rPr>
      <t>ç</t>
    </r>
    <r>
      <rPr>
        <sz val="11"/>
        <rFont val="Calibri"/>
        <family val="2"/>
        <scheme val="minor"/>
      </rPr>
      <t>as de rezes, aluguel de a</t>
    </r>
    <r>
      <rPr>
        <sz val="11"/>
        <rFont val="Calibri"/>
        <family val="2"/>
      </rPr>
      <t>ç</t>
    </r>
    <r>
      <rPr>
        <sz val="11"/>
        <rFont val="Calibri"/>
        <family val="2"/>
        <scheme val="minor"/>
      </rPr>
      <t>ougue (head tax on slaughtered cattle, butcher shop rent)</t>
    </r>
  </si>
  <si>
    <r>
      <t>C</t>
    </r>
    <r>
      <rPr>
        <sz val="11"/>
        <rFont val="Calibri"/>
        <family val="2"/>
      </rPr>
      <t>ã</t>
    </r>
    <r>
      <rPr>
        <sz val="11"/>
        <rFont val="Calibri"/>
        <family val="2"/>
        <scheme val="minor"/>
      </rPr>
      <t>es (dogcatchers and licences)</t>
    </r>
  </si>
  <si>
    <r>
      <t>Carros e ve</t>
    </r>
    <r>
      <rPr>
        <sz val="11"/>
        <rFont val="Calibri"/>
        <family val="2"/>
      </rPr>
      <t>í</t>
    </r>
    <r>
      <rPr>
        <sz val="11"/>
        <rFont val="Calibri"/>
        <family val="2"/>
        <scheme val="minor"/>
      </rPr>
      <t>culos do munic</t>
    </r>
    <r>
      <rPr>
        <sz val="11"/>
        <rFont val="Calibri"/>
        <family val="2"/>
      </rPr>
      <t>í</t>
    </r>
    <r>
      <rPr>
        <sz val="11"/>
        <rFont val="Calibri"/>
        <family val="2"/>
        <scheme val="minor"/>
      </rPr>
      <t>pio (car and vehicles of the muni)</t>
    </r>
  </si>
  <si>
    <r>
      <t>Carros e ve</t>
    </r>
    <r>
      <rPr>
        <sz val="11"/>
        <rFont val="Calibri"/>
        <family val="2"/>
      </rPr>
      <t>í</t>
    </r>
    <r>
      <rPr>
        <sz val="11"/>
        <rFont val="Calibri"/>
        <family val="2"/>
        <scheme val="minor"/>
      </rPr>
      <t>culos fora do munic</t>
    </r>
    <r>
      <rPr>
        <sz val="11"/>
        <rFont val="Calibri"/>
        <family val="2"/>
      </rPr>
      <t>í</t>
    </r>
    <r>
      <rPr>
        <sz val="11"/>
        <rFont val="Calibri"/>
        <family val="2"/>
        <scheme val="minor"/>
      </rPr>
      <t>pio (cars and vehicles from outside the municipality)</t>
    </r>
  </si>
  <si>
    <r>
      <t>Casas de com</t>
    </r>
    <r>
      <rPr>
        <sz val="11"/>
        <rFont val="Calibri"/>
        <family val="2"/>
      </rPr>
      <t>é</t>
    </r>
    <r>
      <rPr>
        <sz val="11"/>
        <rFont val="Calibri"/>
        <family val="2"/>
        <scheme val="minor"/>
      </rPr>
      <t>rcio em geral (businesses, general)</t>
    </r>
  </si>
  <si>
    <r>
      <t>Casas de commiss</t>
    </r>
    <r>
      <rPr>
        <sz val="11"/>
        <rFont val="Calibri"/>
        <family val="2"/>
      </rPr>
      <t>ã</t>
    </r>
    <r>
      <rPr>
        <sz val="11"/>
        <rFont val="Calibri"/>
        <family val="2"/>
        <scheme val="minor"/>
      </rPr>
      <t>o de café (coffee trading houses)</t>
    </r>
  </si>
  <si>
    <r>
      <t>Casinhas de mantimentos e a</t>
    </r>
    <r>
      <rPr>
        <sz val="11"/>
        <rFont val="Calibri"/>
        <family val="2"/>
      </rPr>
      <t>ç</t>
    </r>
    <r>
      <rPr>
        <sz val="11"/>
        <rFont val="Calibri"/>
        <family val="2"/>
        <scheme val="minor"/>
      </rPr>
      <t>ougues, aluguel (rent on food and butcher shops)</t>
    </r>
  </si>
  <si>
    <r>
      <t>Dep</t>
    </r>
    <r>
      <rPr>
        <sz val="11"/>
        <rFont val="Calibri"/>
        <family val="2"/>
      </rPr>
      <t>ó</t>
    </r>
    <r>
      <rPr>
        <sz val="11"/>
        <rFont val="Calibri"/>
        <family val="2"/>
        <scheme val="minor"/>
      </rPr>
      <t>sitos de a</t>
    </r>
    <r>
      <rPr>
        <sz val="11"/>
        <rFont val="Calibri"/>
        <family val="2"/>
      </rPr>
      <t>ç</t>
    </r>
    <r>
      <rPr>
        <sz val="11"/>
        <rFont val="Calibri"/>
        <family val="2"/>
        <scheme val="minor"/>
      </rPr>
      <t>ucar (sugar wholesaler)</t>
    </r>
  </si>
  <si>
    <r>
      <t>Dep</t>
    </r>
    <r>
      <rPr>
        <sz val="11"/>
        <rFont val="Calibri"/>
        <family val="2"/>
      </rPr>
      <t>ó</t>
    </r>
    <r>
      <rPr>
        <sz val="11"/>
        <rFont val="Calibri"/>
        <family val="2"/>
        <scheme val="minor"/>
      </rPr>
      <t>sitos de g</t>
    </r>
    <r>
      <rPr>
        <sz val="11"/>
        <rFont val="Calibri"/>
        <family val="2"/>
      </rPr>
      <t>ê</t>
    </r>
    <r>
      <rPr>
        <sz val="11"/>
        <rFont val="Calibri"/>
        <family val="2"/>
        <scheme val="minor"/>
      </rPr>
      <t>neros (dry goods wholesaler)</t>
    </r>
  </si>
  <si>
    <r>
      <t>Profiss</t>
    </r>
    <r>
      <rPr>
        <sz val="11"/>
        <rFont val="Calibri"/>
        <family val="2"/>
      </rPr>
      <t>ões diversas (</t>
    </r>
    <r>
      <rPr>
        <sz val="11"/>
        <rFont val="Calibri"/>
        <family val="2"/>
        <scheme val="minor"/>
      </rPr>
      <t>diverse professions)</t>
    </r>
  </si>
  <si>
    <t>Promotor Público (municipal prosecutor)</t>
  </si>
  <si>
    <t>Regulador Público and the tower to place it</t>
  </si>
  <si>
    <r>
      <t>G</t>
    </r>
    <r>
      <rPr>
        <sz val="11"/>
        <rFont val="Calibri"/>
        <family val="2"/>
      </rPr>
      <t>ê</t>
    </r>
    <r>
      <rPr>
        <sz val="11"/>
        <rFont val="Calibri"/>
        <family val="2"/>
        <scheme val="minor"/>
      </rPr>
      <t>neros de estradas (roadside stands)</t>
    </r>
  </si>
  <si>
    <t>Gêneros secos (dry goods)</t>
  </si>
  <si>
    <t>Gêneros de transporte e outros (transported goods and others)</t>
  </si>
  <si>
    <t>Gêneros importados (imported goods)</t>
  </si>
  <si>
    <t>Gêneros secos e porcos (dry goods and pigs)</t>
  </si>
  <si>
    <t>Hoteis, botequins, restaurantes, confeitarias (hotels, bars, retaurants, sweetshops)</t>
  </si>
  <si>
    <t>Impostos diversos constantes da respectiva tabela (misc taxes as determined by the tax rolls)</t>
  </si>
  <si>
    <r>
      <t>Jogos l</t>
    </r>
    <r>
      <rPr>
        <sz val="11"/>
        <rFont val="Calibri"/>
        <family val="2"/>
      </rPr>
      <t>í</t>
    </r>
    <r>
      <rPr>
        <sz val="11"/>
        <rFont val="Calibri"/>
        <family val="2"/>
        <scheme val="minor"/>
      </rPr>
      <t>citos and flammable goods</t>
    </r>
  </si>
  <si>
    <t>Novo imposto provincial on vendas e armazens (New provincial tax on shops and warehouses)</t>
  </si>
  <si>
    <t>Pasto de aluguel, cocheiras (rental pasture, coachhouse)</t>
  </si>
  <si>
    <t>Perfumarias (perfumaries)</t>
  </si>
  <si>
    <r>
      <t>Profiss</t>
    </r>
    <r>
      <rPr>
        <sz val="11"/>
        <rFont val="Calibri"/>
        <family val="2"/>
      </rPr>
      <t>õ</t>
    </r>
    <r>
      <rPr>
        <sz val="11"/>
        <rFont val="Calibri"/>
        <family val="2"/>
        <scheme val="minor"/>
      </rPr>
      <t>es e Industrias (professions and industries)</t>
    </r>
  </si>
  <si>
    <r>
      <t>Pr</t>
    </r>
    <r>
      <rPr>
        <sz val="11"/>
        <rFont val="Calibri"/>
        <family val="2"/>
      </rPr>
      <t>é</t>
    </r>
    <r>
      <rPr>
        <sz val="11"/>
        <rFont val="Calibri"/>
        <family val="2"/>
        <scheme val="minor"/>
      </rPr>
      <t>dios e oficinas das Cias EF (buildings and workshops of railroad companies)</t>
    </r>
  </si>
  <si>
    <t>Toucinho e carne fresca (lard and fresh meat tax)</t>
  </si>
  <si>
    <r>
      <t>Aluguel de pr</t>
    </r>
    <r>
      <rPr>
        <sz val="11"/>
        <rFont val="Calibri"/>
        <family val="2"/>
      </rPr>
      <t>é</t>
    </r>
    <r>
      <rPr>
        <sz val="11"/>
        <rFont val="Calibri"/>
        <family val="2"/>
        <scheme val="minor"/>
      </rPr>
      <t>dios da Câmara (rent on Council buildings)</t>
    </r>
  </si>
  <si>
    <r>
      <t>Cemit</t>
    </r>
    <r>
      <rPr>
        <sz val="11"/>
        <rFont val="Calibri"/>
        <family val="2"/>
      </rPr>
      <t>é</t>
    </r>
    <r>
      <rPr>
        <sz val="11"/>
        <rFont val="Calibri"/>
        <family val="2"/>
        <scheme val="minor"/>
      </rPr>
      <t>rio (Revenue from municipal cemetery)</t>
    </r>
  </si>
  <si>
    <t>Matadouro (revenue from municipal slaughterhouse)</t>
  </si>
  <si>
    <r>
      <t>Cemit</t>
    </r>
    <r>
      <rPr>
        <sz val="11"/>
        <rFont val="Calibri"/>
        <family val="2"/>
      </rPr>
      <t>é</t>
    </r>
    <r>
      <rPr>
        <sz val="11"/>
        <rFont val="Calibri"/>
        <family val="2"/>
        <scheme val="minor"/>
      </rPr>
      <t>rio (revenue from municipal cemetery)</t>
    </r>
  </si>
  <si>
    <t>Reembolsos (reimbursements )</t>
  </si>
  <si>
    <r>
      <t>Subven</t>
    </r>
    <r>
      <rPr>
        <sz val="11"/>
        <rFont val="Calibri"/>
        <family val="2"/>
      </rPr>
      <t>çã</t>
    </r>
    <r>
      <rPr>
        <sz val="11"/>
        <rFont val="Calibri"/>
        <family val="2"/>
        <scheme val="minor"/>
      </rPr>
      <t>o da Prov</t>
    </r>
    <r>
      <rPr>
        <sz val="11"/>
        <rFont val="Calibri"/>
        <family val="2"/>
      </rPr>
      <t>í</t>
    </r>
    <r>
      <rPr>
        <sz val="11"/>
        <rFont val="Calibri"/>
        <family val="2"/>
        <scheme val="minor"/>
      </rPr>
      <t>ncia para presos pobres (provincial subvention to support poor prisoners)</t>
    </r>
  </si>
  <si>
    <t>Açogue e gêneros do paiz (butcher shop and local goods)</t>
  </si>
  <si>
    <t>Aguardente e gêneros do paiz (sugar cane liquor and local goods)</t>
  </si>
  <si>
    <t>Tabernas e gêneros seccos (taverns and dry goods)</t>
  </si>
  <si>
    <t>Aguardente, rezes, and subsídio literário com aplicação especial (liquor, slaughterhouse, and literary subsidy taxes with special application)</t>
  </si>
  <si>
    <t>Armazem de sal e café (warehouse for salt and coffee)</t>
  </si>
  <si>
    <t>Carros e casas (licenses for cars and businesses)</t>
  </si>
  <si>
    <t>Estanque, aferição, cabeças de rezes, e outros (monopoly liquor stores, weights and measures, slaughtered heads of cattle, and other)</t>
  </si>
  <si>
    <t>Portas e janelas com aplicação especial (tax on doors and windows with special application)</t>
  </si>
  <si>
    <t>Praça de animais no curral do conselho (animals held in the municipal corral)</t>
  </si>
  <si>
    <t>Rezes e subsídios literários (slaughterhouse and literary subsidy)</t>
  </si>
  <si>
    <t>Terrenos para edificação (unimproved lots suitable for building)</t>
  </si>
  <si>
    <t>Arrematação da cadeia velha e curral (auction of old jail and corral)</t>
  </si>
  <si>
    <t>Money from Provincial Treasury for works on the Igreja Matriz(principal church)</t>
  </si>
  <si>
    <t>Sustento a presos pobres recebido na Colectoria da cidade (sustenance for poor prisoners received in provincial tax collection station)</t>
  </si>
  <si>
    <t>Adiantamento que fez o Sr. Jose Theodoro de Mello para as obras do matadoura, e aceito pela Câmara (loan from Mr. de Mello for  works on the slaughterhouse, accepted by the Council)</t>
  </si>
  <si>
    <t>Prêmio (interest earned) on money in different accounts</t>
  </si>
  <si>
    <t>Collection of accts receivable with special application</t>
  </si>
  <si>
    <r>
      <t>Carros e veh</t>
    </r>
    <r>
      <rPr>
        <sz val="11"/>
        <rFont val="Calibri"/>
        <family val="2"/>
      </rPr>
      <t>í</t>
    </r>
    <r>
      <rPr>
        <sz val="11"/>
        <rFont val="Calibri"/>
        <family val="2"/>
        <scheme val="minor"/>
      </rPr>
      <t>culos (car and vehicle licences)</t>
    </r>
  </si>
  <si>
    <r>
      <t>Coffee exported from Ribeir</t>
    </r>
    <r>
      <rPr>
        <sz val="11"/>
        <rFont val="Calibri"/>
        <family val="2"/>
      </rPr>
      <t>ão</t>
    </r>
    <r>
      <rPr>
        <sz val="11"/>
        <rFont val="Calibri"/>
        <family val="2"/>
        <scheme val="minor"/>
      </rPr>
      <t xml:space="preserve"> Preto</t>
    </r>
  </si>
  <si>
    <r>
      <t>Concess</t>
    </r>
    <r>
      <rPr>
        <sz val="11"/>
        <rFont val="Calibri"/>
        <family val="2"/>
      </rPr>
      <t>ã</t>
    </r>
    <r>
      <rPr>
        <sz val="11"/>
        <rFont val="Calibri"/>
        <family val="2"/>
        <scheme val="minor"/>
      </rPr>
      <t>o de datas (land grants)</t>
    </r>
  </si>
  <si>
    <r>
      <t>Engenhos da serra e a</t>
    </r>
    <r>
      <rPr>
        <sz val="11"/>
        <rFont val="Calibri"/>
        <family val="2"/>
      </rPr>
      <t>ç</t>
    </r>
    <r>
      <rPr>
        <sz val="11"/>
        <rFont val="Calibri"/>
        <family val="2"/>
        <scheme val="minor"/>
      </rPr>
      <t>ucar (sawmills and sugarmills)</t>
    </r>
  </si>
  <si>
    <r>
      <t>Engenhos de a</t>
    </r>
    <r>
      <rPr>
        <sz val="11"/>
        <rFont val="Calibri"/>
        <family val="2"/>
      </rPr>
      <t>ç</t>
    </r>
    <r>
      <rPr>
        <sz val="11"/>
        <rFont val="Calibri"/>
        <family val="2"/>
        <scheme val="minor"/>
      </rPr>
      <t>ucar (sugar processing mills)</t>
    </r>
  </si>
  <si>
    <t>Engenhos e maquinas de café (sugarmills and coffee processing machinery)</t>
  </si>
  <si>
    <t>Engenhos e olarias (sugarmills and pottery barns)</t>
  </si>
  <si>
    <r>
      <t>F</t>
    </r>
    <r>
      <rPr>
        <sz val="11"/>
        <rFont val="Calibri"/>
        <family val="2"/>
      </rPr>
      <t>á</t>
    </r>
    <r>
      <rPr>
        <sz val="11"/>
        <rFont val="Calibri"/>
        <family val="2"/>
        <scheme val="minor"/>
      </rPr>
      <t>bricas e oficinas (factories and workshops)</t>
    </r>
  </si>
  <si>
    <r>
      <t>Ind</t>
    </r>
    <r>
      <rPr>
        <sz val="11"/>
        <rFont val="Calibri"/>
        <family val="2"/>
      </rPr>
      <t>ú</t>
    </r>
    <r>
      <rPr>
        <sz val="11"/>
        <rFont val="Calibri"/>
        <family val="2"/>
        <scheme val="minor"/>
      </rPr>
      <t>strias e Profiss</t>
    </r>
    <r>
      <rPr>
        <sz val="11"/>
        <rFont val="Calibri"/>
        <family val="2"/>
      </rPr>
      <t>õ</t>
    </r>
    <r>
      <rPr>
        <sz val="11"/>
        <rFont val="Calibri"/>
        <family val="2"/>
        <scheme val="minor"/>
      </rPr>
      <t>es (Industries and Professions)</t>
    </r>
  </si>
  <si>
    <r>
      <t>Neg</t>
    </r>
    <r>
      <rPr>
        <sz val="11"/>
        <rFont val="Calibri"/>
        <family val="2"/>
      </rPr>
      <t>ó</t>
    </r>
    <r>
      <rPr>
        <sz val="11"/>
        <rFont val="Calibri"/>
        <family val="2"/>
        <scheme val="minor"/>
      </rPr>
      <t>cios (businesses)</t>
    </r>
  </si>
  <si>
    <r>
      <t>Rezes e porcos abatidos e a</t>
    </r>
    <r>
      <rPr>
        <sz val="11"/>
        <rFont val="Calibri"/>
        <family val="2"/>
      </rPr>
      <t>ç</t>
    </r>
    <r>
      <rPr>
        <sz val="11"/>
        <rFont val="Calibri"/>
        <family val="2"/>
        <scheme val="minor"/>
      </rPr>
      <t>ouges (slaughter of cattle and pigs, and butcher shops)</t>
    </r>
  </si>
  <si>
    <r>
      <t>Licen</t>
    </r>
    <r>
      <rPr>
        <sz val="11"/>
        <rFont val="Calibri"/>
        <family val="2"/>
      </rPr>
      <t>ç</t>
    </r>
    <r>
      <rPr>
        <sz val="11"/>
        <rFont val="Calibri"/>
        <family val="2"/>
        <scheme val="minor"/>
      </rPr>
      <t>as para casas de neg</t>
    </r>
    <r>
      <rPr>
        <sz val="11"/>
        <rFont val="Calibri"/>
        <family val="2"/>
      </rPr>
      <t>ó</t>
    </r>
    <r>
      <rPr>
        <sz val="11"/>
        <rFont val="Calibri"/>
        <family val="2"/>
        <scheme val="minor"/>
      </rPr>
      <t>cios e outras (Licenses for places of business and others)</t>
    </r>
  </si>
  <si>
    <r>
      <t>Multas diversas e diversas li</t>
    </r>
    <r>
      <rPr>
        <sz val="11"/>
        <rFont val="Calibri"/>
        <family val="2"/>
      </rPr>
      <t>ç</t>
    </r>
    <r>
      <rPr>
        <sz val="11"/>
        <rFont val="Calibri"/>
        <family val="2"/>
        <scheme val="minor"/>
      </rPr>
      <t>encas (Various fines and fees)</t>
    </r>
  </si>
  <si>
    <t>Amolador (grinder, sharpener)</t>
  </si>
  <si>
    <r>
      <t>Aguardente, carne verde e subs</t>
    </r>
    <r>
      <rPr>
        <sz val="11"/>
        <rFont val="Calibri"/>
        <family val="2"/>
      </rPr>
      <t>í</t>
    </r>
    <r>
      <rPr>
        <sz val="11"/>
        <rFont val="Calibri"/>
        <family val="2"/>
        <scheme val="minor"/>
      </rPr>
      <t>dio liter</t>
    </r>
    <r>
      <rPr>
        <sz val="11"/>
        <rFont val="Calibri"/>
        <family val="2"/>
      </rPr>
      <t>á</t>
    </r>
    <r>
      <rPr>
        <sz val="11"/>
        <rFont val="Calibri"/>
        <family val="2"/>
        <scheme val="minor"/>
      </rPr>
      <t>rio</t>
    </r>
  </si>
  <si>
    <t>Aguardente/barril, cargueiros de fora (sugar cane liquor, barrels shipments from outside the municipality)</t>
  </si>
  <si>
    <r>
      <t>Armazens, lojas, tabernas, boticos, secos e molhados, farm</t>
    </r>
    <r>
      <rPr>
        <sz val="11"/>
        <rFont val="Calibri"/>
        <family val="2"/>
      </rPr>
      <t>á</t>
    </r>
    <r>
      <rPr>
        <sz val="11"/>
        <rFont val="Calibri"/>
        <family val="2"/>
        <scheme val="minor"/>
      </rPr>
      <t>cia, cal</t>
    </r>
    <r>
      <rPr>
        <sz val="11"/>
        <rFont val="Calibri"/>
        <family val="2"/>
      </rPr>
      <t>ç</t>
    </r>
    <r>
      <rPr>
        <sz val="11"/>
        <rFont val="Calibri"/>
        <family val="2"/>
        <scheme val="minor"/>
      </rPr>
      <t>ados etc (warehouses, shops, taverns, druggists, dry and wet goods stores, pharmacy, shoes, etc)</t>
    </r>
  </si>
  <si>
    <r>
      <t>Casas de Commiss</t>
    </r>
    <r>
      <rPr>
        <sz val="11"/>
        <rFont val="Calibri"/>
        <family val="2"/>
      </rPr>
      <t>ã</t>
    </r>
    <r>
      <rPr>
        <sz val="11"/>
        <rFont val="Calibri"/>
        <family val="2"/>
        <scheme val="minor"/>
      </rPr>
      <t>o (commodity export houses)</t>
    </r>
  </si>
  <si>
    <t>Dentistas (dentists)</t>
  </si>
  <si>
    <r>
      <t>F</t>
    </r>
    <r>
      <rPr>
        <sz val="11"/>
        <rFont val="Calibri"/>
        <family val="2"/>
      </rPr>
      <t>á</t>
    </r>
    <r>
      <rPr>
        <sz val="11"/>
        <rFont val="Calibri"/>
        <family val="2"/>
        <scheme val="minor"/>
      </rPr>
      <t>bricas de beb</t>
    </r>
    <r>
      <rPr>
        <sz val="11"/>
        <rFont val="Calibri"/>
        <family val="2"/>
      </rPr>
      <t>í</t>
    </r>
    <r>
      <rPr>
        <sz val="11"/>
        <rFont val="Calibri"/>
        <family val="2"/>
        <scheme val="minor"/>
      </rPr>
      <t>das espirituosas (liquor distilleries)</t>
    </r>
  </si>
  <si>
    <t>Funileiros e caldeireiros (tinsmiths and cauldron makers)</t>
  </si>
  <si>
    <t>Louças e sal (ceramics and salt)</t>
  </si>
  <si>
    <t>Miscellaneous, illegible</t>
  </si>
  <si>
    <t>Oficinas, misc (miscellaneous workshops)</t>
  </si>
  <si>
    <r>
      <t>Rezes e porcos abatidos, a</t>
    </r>
    <r>
      <rPr>
        <sz val="11"/>
        <rFont val="Calibri"/>
        <family val="2"/>
      </rPr>
      <t>ç</t>
    </r>
    <r>
      <rPr>
        <sz val="11"/>
        <rFont val="Calibri"/>
        <family val="2"/>
        <scheme val="minor"/>
      </rPr>
      <t>ouges (slaughter of cows and pigs, butcher shops)</t>
    </r>
  </si>
  <si>
    <t>Vendas de animais (sale of animals)</t>
  </si>
  <si>
    <t>Quebramento da fiança (Broken guarantor bond)</t>
  </si>
  <si>
    <t>Animais (licenses for animals)</t>
  </si>
  <si>
    <r>
      <t>Artes e of</t>
    </r>
    <r>
      <rPr>
        <sz val="11"/>
        <rFont val="Calibri"/>
        <family val="2"/>
      </rPr>
      <t>í</t>
    </r>
    <r>
      <rPr>
        <sz val="11"/>
        <rFont val="Calibri"/>
        <family val="2"/>
        <scheme val="minor"/>
      </rPr>
      <t>cios (professions and occupations)</t>
    </r>
  </si>
  <si>
    <r>
      <t>Cabe</t>
    </r>
    <r>
      <rPr>
        <sz val="11"/>
        <rFont val="Calibri"/>
        <family val="2"/>
      </rPr>
      <t>ç</t>
    </r>
    <r>
      <rPr>
        <sz val="11"/>
        <rFont val="Calibri"/>
        <family val="2"/>
        <scheme val="minor"/>
      </rPr>
      <t>as de porcos (heads of pork slaughtered)</t>
    </r>
  </si>
  <si>
    <r>
      <t>Café e a</t>
    </r>
    <r>
      <rPr>
        <sz val="11"/>
        <rFont val="Calibri"/>
        <family val="2"/>
      </rPr>
      <t>ç</t>
    </r>
    <r>
      <rPr>
        <sz val="11"/>
        <rFont val="Calibri"/>
        <family val="2"/>
        <scheme val="minor"/>
      </rPr>
      <t>ucar (coffee and sugar)</t>
    </r>
  </si>
  <si>
    <r>
      <t>Licen</t>
    </r>
    <r>
      <rPr>
        <sz val="11"/>
        <rFont val="Calibri"/>
        <family val="2"/>
      </rPr>
      <t>ç</t>
    </r>
    <r>
      <rPr>
        <sz val="11"/>
        <rFont val="Calibri"/>
        <family val="2"/>
        <scheme val="minor"/>
      </rPr>
      <t>as para folias (licenses to raise money for celebrations)</t>
    </r>
  </si>
  <si>
    <r>
      <t>Neg</t>
    </r>
    <r>
      <rPr>
        <sz val="11"/>
        <rFont val="Calibri"/>
        <family val="2"/>
      </rPr>
      <t>ó</t>
    </r>
    <r>
      <rPr>
        <sz val="11"/>
        <rFont val="Calibri"/>
        <family val="2"/>
        <scheme val="minor"/>
      </rPr>
      <t>cios em geral/licen</t>
    </r>
    <r>
      <rPr>
        <sz val="11"/>
        <rFont val="Calibri"/>
        <family val="2"/>
      </rPr>
      <t>ç</t>
    </r>
    <r>
      <rPr>
        <sz val="11"/>
        <rFont val="Calibri"/>
        <family val="2"/>
        <scheme val="minor"/>
      </rPr>
      <t>as diversas (general businesses, miscellaneous licenses)</t>
    </r>
  </si>
  <si>
    <t>Concertos (repairs on) water ditch/channel</t>
  </si>
  <si>
    <r>
      <t>Limpeza dos Regos da servid</t>
    </r>
    <r>
      <rPr>
        <sz val="11"/>
        <color theme="1"/>
        <rFont val="Calibri"/>
        <family val="2"/>
      </rPr>
      <t>ã</t>
    </r>
    <r>
      <rPr>
        <sz val="11"/>
        <color theme="1"/>
        <rFont val="Calibri"/>
        <family val="2"/>
        <scheme val="minor"/>
      </rPr>
      <t>o (cleaning of the water canals)</t>
    </r>
  </si>
  <si>
    <t>Pagamento a matriz para cartas de datas (payment to Church for land grant documents)</t>
  </si>
  <si>
    <r>
      <t xml:space="preserve">Encanamento de </t>
    </r>
    <r>
      <rPr>
        <sz val="11"/>
        <color theme="1"/>
        <rFont val="Calibri"/>
        <family val="2"/>
      </rPr>
      <t>á</t>
    </r>
    <r>
      <rPr>
        <sz val="11"/>
        <color theme="1"/>
        <rFont val="Calibri"/>
        <family val="2"/>
        <scheme val="minor"/>
      </rPr>
      <t>gua (piped water)</t>
    </r>
  </si>
  <si>
    <r>
      <t xml:space="preserve">Rego da </t>
    </r>
    <r>
      <rPr>
        <sz val="11"/>
        <color theme="1"/>
        <rFont val="Calibri"/>
        <family val="2"/>
      </rPr>
      <t>Á</t>
    </r>
    <r>
      <rPr>
        <sz val="11"/>
        <color theme="1"/>
        <rFont val="Calibri"/>
        <family val="2"/>
        <scheme val="minor"/>
      </rPr>
      <t>gua desta vila, materiais (materials for village water canal)</t>
    </r>
  </si>
  <si>
    <r>
      <t>Di</t>
    </r>
    <r>
      <rPr>
        <sz val="11"/>
        <color theme="1"/>
        <rFont val="Calibri"/>
        <family val="2"/>
      </rPr>
      <t>á</t>
    </r>
    <r>
      <rPr>
        <sz val="11"/>
        <color theme="1"/>
        <rFont val="Calibri"/>
        <family val="2"/>
        <scheme val="minor"/>
      </rPr>
      <t>ria da Cadeia (per diem for the jail)</t>
    </r>
  </si>
  <si>
    <r>
      <t>Mat</t>
    </r>
    <r>
      <rPr>
        <sz val="11"/>
        <color theme="1"/>
        <rFont val="Calibri"/>
        <family val="2"/>
      </rPr>
      <t>é</t>
    </r>
    <r>
      <rPr>
        <sz val="11"/>
        <color theme="1"/>
        <rFont val="Calibri"/>
        <family val="2"/>
        <scheme val="minor"/>
      </rPr>
      <t>rias primas for Obras Públicas (supplies for public works)</t>
    </r>
  </si>
  <si>
    <r>
      <t>Jury e elei</t>
    </r>
    <r>
      <rPr>
        <sz val="11"/>
        <color theme="1"/>
        <rFont val="Calibri"/>
        <family val="2"/>
      </rPr>
      <t>çõ</t>
    </r>
    <r>
      <rPr>
        <sz val="11"/>
        <color theme="1"/>
        <rFont val="Calibri"/>
        <family val="2"/>
        <scheme val="minor"/>
      </rPr>
      <t>es (Juries and elections)</t>
    </r>
  </si>
  <si>
    <t>Câmara, Jury e eleições (Council, jury, and elections)</t>
  </si>
  <si>
    <t>Aposentadoria do Juiz e mais despezas com Jury (retirement pension for the judge and other expenses of the jury)</t>
  </si>
  <si>
    <t>School:  financial assistance to a night school</t>
  </si>
  <si>
    <r>
      <t>Extinção de c</t>
    </r>
    <r>
      <rPr>
        <sz val="11"/>
        <color theme="1"/>
        <rFont val="Calibri"/>
        <family val="2"/>
      </rPr>
      <t>ã</t>
    </r>
    <r>
      <rPr>
        <sz val="11"/>
        <color theme="1"/>
        <rFont val="Calibri"/>
        <family val="2"/>
        <scheme val="minor"/>
      </rPr>
      <t>es (stray dog extermination)</t>
    </r>
  </si>
  <si>
    <t>Sustento a prezos pobres com dinheiro recebido da Coletoria (sustenance for poor prisoners with money received from the provinical tax collection office)</t>
  </si>
  <si>
    <t>Concerto de ruas, estradas e formigueiros (road and street repair, removal  of ant hills)</t>
  </si>
  <si>
    <r>
      <t xml:space="preserve">Tirada da </t>
    </r>
    <r>
      <rPr>
        <sz val="11"/>
        <color theme="1"/>
        <rFont val="Calibri"/>
        <family val="2"/>
      </rPr>
      <t>á</t>
    </r>
    <r>
      <rPr>
        <sz val="11"/>
        <color theme="1"/>
        <rFont val="Calibri"/>
        <family val="2"/>
        <scheme val="minor"/>
      </rPr>
      <t>gua para o chafariz desta cidade (water canal for the public fountain)</t>
    </r>
  </si>
  <si>
    <t>Payment to contractor on Jail</t>
  </si>
  <si>
    <r>
      <t>Sustento e di</t>
    </r>
    <r>
      <rPr>
        <sz val="11"/>
        <color theme="1"/>
        <rFont val="Calibri"/>
        <family val="2"/>
      </rPr>
      <t>á</t>
    </r>
    <r>
      <rPr>
        <sz val="11"/>
        <color theme="1"/>
        <rFont val="Calibri"/>
        <family val="2"/>
        <scheme val="minor"/>
      </rPr>
      <t>ria para o Guarda Policia (Sustenance and per diem for Police Guard)</t>
    </r>
  </si>
  <si>
    <r>
      <t>Obras, mob</t>
    </r>
    <r>
      <rPr>
        <sz val="11"/>
        <color theme="1"/>
        <rFont val="Calibri"/>
        <family val="2"/>
      </rPr>
      <t>í</t>
    </r>
    <r>
      <rPr>
        <sz val="11"/>
        <color theme="1"/>
        <rFont val="Calibri"/>
        <family val="2"/>
        <scheme val="minor"/>
      </rPr>
      <t>lia para Câmara e forum (works and furnishings for Council and court)</t>
    </r>
  </si>
  <si>
    <t>Money spent on weights and measures for new metric standard</t>
  </si>
  <si>
    <t>Other expenses (usually illegible)</t>
  </si>
  <si>
    <r>
      <t>Pagamento da d</t>
    </r>
    <r>
      <rPr>
        <sz val="11"/>
        <color theme="1"/>
        <rFont val="Calibri"/>
        <family val="2"/>
      </rPr>
      <t>í</t>
    </r>
    <r>
      <rPr>
        <sz val="11"/>
        <color theme="1"/>
        <rFont val="Calibri"/>
        <family val="2"/>
        <scheme val="minor"/>
      </rPr>
      <t>vida passiva (accounts payable)</t>
    </r>
  </si>
  <si>
    <r>
      <t xml:space="preserve">Limpeza e </t>
    </r>
    <r>
      <rPr>
        <sz val="11"/>
        <color theme="1"/>
        <rFont val="Calibri"/>
        <family val="2"/>
      </rPr>
      <t>á</t>
    </r>
    <r>
      <rPr>
        <sz val="11"/>
        <color theme="1"/>
        <rFont val="Calibri"/>
        <family val="2"/>
        <scheme val="minor"/>
      </rPr>
      <t>gua da cadeia (cleaning and water for the jail)</t>
    </r>
  </si>
  <si>
    <r>
      <t>Supplies for a</t>
    </r>
    <r>
      <rPr>
        <sz val="11"/>
        <color theme="1"/>
        <rFont val="Calibri"/>
        <family val="2"/>
      </rPr>
      <t>ç</t>
    </r>
    <r>
      <rPr>
        <sz val="11"/>
        <color theme="1"/>
        <rFont val="Calibri"/>
        <family val="2"/>
        <scheme val="minor"/>
      </rPr>
      <t>ogue (butcher shops) and casinhas de mantimentos (food stores)</t>
    </r>
  </si>
  <si>
    <r>
      <t>Mob</t>
    </r>
    <r>
      <rPr>
        <sz val="11"/>
        <color theme="1"/>
        <rFont val="Calibri"/>
        <family val="2"/>
      </rPr>
      <t>í</t>
    </r>
    <r>
      <rPr>
        <sz val="11"/>
        <color theme="1"/>
        <rFont val="Calibri"/>
        <family val="2"/>
        <scheme val="minor"/>
      </rPr>
      <t>lia da Câmara (council furnishings)</t>
    </r>
  </si>
  <si>
    <r>
      <t>Câmara, Jury, Elei</t>
    </r>
    <r>
      <rPr>
        <sz val="11"/>
        <color theme="1"/>
        <rFont val="Calibri"/>
        <family val="2"/>
      </rPr>
      <t>çõ</t>
    </r>
    <r>
      <rPr>
        <sz val="11"/>
        <color theme="1"/>
        <rFont val="Calibri"/>
        <family val="2"/>
        <scheme val="minor"/>
      </rPr>
      <t>es (Municipal Council, Jury, Election costs)</t>
    </r>
  </si>
  <si>
    <t>Deficit de meias custas no ano vigente (deficit of half costs in the current year)</t>
  </si>
  <si>
    <t>ALESP São Carlos collection</t>
  </si>
  <si>
    <t>ALESP São Carlos document number</t>
  </si>
  <si>
    <t>Liberal Professions (Offices of Lawyers, Doctors)</t>
  </si>
  <si>
    <t>Solicitadores (Solicitors)</t>
  </si>
  <si>
    <t>Sale of municipal assets (small things)</t>
  </si>
  <si>
    <r>
      <t>F</t>
    </r>
    <r>
      <rPr>
        <sz val="11"/>
        <rFont val="Calibri"/>
        <family val="2"/>
      </rPr>
      <t>ábricas (</t>
    </r>
    <r>
      <rPr>
        <sz val="11"/>
        <rFont val="Calibri"/>
        <family val="2"/>
        <scheme val="minor"/>
      </rPr>
      <t>Factories):  Beer</t>
    </r>
  </si>
  <si>
    <t>Fábricas (Factories):  Cloth</t>
  </si>
  <si>
    <t>Fábricas (Factories):  Diverse</t>
  </si>
  <si>
    <t>Fábricas (Factories):  Hats</t>
  </si>
  <si>
    <r>
      <t>Leil</t>
    </r>
    <r>
      <rPr>
        <sz val="11"/>
        <rFont val="Calibri"/>
        <family val="2"/>
      </rPr>
      <t>õ</t>
    </r>
    <r>
      <rPr>
        <sz val="11"/>
        <rFont val="Calibri"/>
        <family val="2"/>
        <scheme val="minor"/>
      </rPr>
      <t>es e loterias (auctions and lotteries)</t>
    </r>
  </si>
  <si>
    <r>
      <t>Novos neg</t>
    </r>
    <r>
      <rPr>
        <sz val="11"/>
        <rFont val="Calibri"/>
        <family val="2"/>
      </rPr>
      <t>ó</t>
    </r>
    <r>
      <rPr>
        <sz val="11"/>
        <rFont val="Calibri"/>
        <family val="2"/>
        <scheme val="minor"/>
      </rPr>
      <t>cios (New Businesses tax)</t>
    </r>
  </si>
  <si>
    <t>Pharmacias (pharmacies)</t>
  </si>
  <si>
    <t>Olarias e Pedreiros (Pottery barns and quarries)</t>
  </si>
  <si>
    <r>
      <t>Dep</t>
    </r>
    <r>
      <rPr>
        <sz val="11"/>
        <rFont val="Calibri"/>
        <family val="2"/>
      </rPr>
      <t>ó</t>
    </r>
    <r>
      <rPr>
        <sz val="11"/>
        <rFont val="Calibri"/>
        <family val="2"/>
        <scheme val="minor"/>
      </rPr>
      <t>sito de cal e refina</t>
    </r>
    <r>
      <rPr>
        <sz val="11"/>
        <rFont val="Calibri"/>
        <family val="2"/>
      </rPr>
      <t>çã</t>
    </r>
    <r>
      <rPr>
        <sz val="11"/>
        <rFont val="Calibri"/>
        <family val="2"/>
        <scheme val="minor"/>
      </rPr>
      <t>o de assucar (lime deposits and sugar refinering</t>
    </r>
  </si>
  <si>
    <t>Transito sobre generos despachados (transit tax on  goods shipped)</t>
  </si>
  <si>
    <t>Subvenção da Província  para Illuminação Pública (provincial subvention for public lighting)</t>
  </si>
  <si>
    <r>
      <t>M</t>
    </r>
    <r>
      <rPr>
        <sz val="11"/>
        <color theme="1"/>
        <rFont val="Calibri"/>
        <family val="2"/>
      </rPr>
      <t>é</t>
    </r>
    <r>
      <rPr>
        <sz val="11"/>
        <color theme="1"/>
        <rFont val="Calibri"/>
        <family val="2"/>
        <scheme val="minor"/>
      </rPr>
      <t>dico de partido (doctor appointed by the municipal council to attend to the population)</t>
    </r>
  </si>
  <si>
    <t>Zelador do regulador público</t>
  </si>
  <si>
    <t>Aluguel (rent) from municipal lands</t>
  </si>
  <si>
    <t>Aluguel (rent) from municipal headquarters building (Casa da Câmara)</t>
  </si>
  <si>
    <t>Pennas d'agua (water properties) ceded to property owners</t>
  </si>
  <si>
    <t>Doctor appointed by the Municipal Intendency</t>
  </si>
  <si>
    <r>
      <t>M</t>
    </r>
    <r>
      <rPr>
        <sz val="11"/>
        <color theme="1"/>
        <rFont val="Calibri"/>
        <family val="2"/>
      </rPr>
      <t>á</t>
    </r>
    <r>
      <rPr>
        <sz val="11"/>
        <color theme="1"/>
        <rFont val="Calibri"/>
        <family val="2"/>
        <scheme val="minor"/>
      </rPr>
      <t>quinas de beneficiar café e serraria (machinery for coffee processing and saw mill)</t>
    </r>
  </si>
  <si>
    <t>https://www.al.sp.gov.br/acervo-historico/base-de-dados/</t>
  </si>
  <si>
    <t>Imperio</t>
  </si>
  <si>
    <t>prestacao</t>
  </si>
  <si>
    <t>OR</t>
  </si>
  <si>
    <t>name of the municipality</t>
  </si>
  <si>
    <t>orcamento</t>
  </si>
  <si>
    <t>(leave blank)</t>
  </si>
  <si>
    <t xml:space="preserve">Alternatively, you can search for these and other documents in the historical archive by coyping and pasting the following URL into your browser: </t>
  </si>
  <si>
    <t>If you only use the Periodo and Localidade, you will find all documents for that municipality held in this archive, allowing you to search for additional information.  You might try "emprestimo" for loans, or "postura" for codes of ordinance.</t>
  </si>
  <si>
    <t>https://www.al.sp.gov.br/repositorioAH/Acervo/Alesp/Imperio/Falp_132/CF65_001.pdf</t>
  </si>
  <si>
    <t xml:space="preserve">For example, to find Amparo's balance sheet for 1864-1864:  </t>
  </si>
  <si>
    <t>From the acervo site you will find the Imperio collection.  Click on "Documentos" to get to the search function, then use the following to fill in the search fields:</t>
  </si>
  <si>
    <t>Falp 011</t>
  </si>
  <si>
    <t>Falp 016</t>
  </si>
  <si>
    <t>Falp 021</t>
  </si>
  <si>
    <t>Falp 025</t>
  </si>
  <si>
    <t>Falp 030</t>
  </si>
  <si>
    <t>Falp 035</t>
  </si>
  <si>
    <t>Falp 037</t>
  </si>
  <si>
    <t>Falp 047</t>
  </si>
  <si>
    <t>Falp 050</t>
  </si>
  <si>
    <t>Falp 075</t>
  </si>
  <si>
    <t>Falp 084</t>
  </si>
  <si>
    <t>Falp 094</t>
  </si>
  <si>
    <t>Falp 114</t>
  </si>
  <si>
    <t>Falp 137</t>
  </si>
  <si>
    <t>Falp 141</t>
  </si>
  <si>
    <t>Falp 149</t>
  </si>
  <si>
    <t>Falp 151</t>
  </si>
  <si>
    <t>Falp 172</t>
  </si>
  <si>
    <t>Falp 204</t>
  </si>
  <si>
    <t>Falp 003</t>
  </si>
  <si>
    <t>Falp 023</t>
  </si>
  <si>
    <t>Falp 028</t>
  </si>
  <si>
    <t>Falp 033</t>
  </si>
  <si>
    <t>Falp 045</t>
  </si>
  <si>
    <t>Falp 080</t>
  </si>
  <si>
    <t>Falp 089</t>
  </si>
  <si>
    <t>Falp 098</t>
  </si>
  <si>
    <t>Falp 119</t>
  </si>
  <si>
    <t>Falp 233</t>
  </si>
  <si>
    <t>Falp 238</t>
  </si>
  <si>
    <t>Falp 007</t>
  </si>
  <si>
    <t>Falp 012</t>
  </si>
  <si>
    <t>Falp 026</t>
  </si>
  <si>
    <t>Falp 031</t>
  </si>
  <si>
    <t>Falp 042</t>
  </si>
  <si>
    <t>Falp 085</t>
  </si>
  <si>
    <t>Falp 090</t>
  </si>
  <si>
    <t>Falp 095</t>
  </si>
  <si>
    <t>Falp 115</t>
  </si>
  <si>
    <t>Falp 133</t>
  </si>
  <si>
    <t>Falp 158</t>
  </si>
  <si>
    <t>Falp 170</t>
  </si>
  <si>
    <t>Falp 173</t>
  </si>
  <si>
    <t>Falp 191</t>
  </si>
  <si>
    <t>Falp_218</t>
  </si>
  <si>
    <t>Falp_223</t>
  </si>
  <si>
    <t>Falp 192</t>
  </si>
  <si>
    <t>Falp 196</t>
  </si>
  <si>
    <t>Falp 215</t>
  </si>
  <si>
    <t>Falp 219</t>
  </si>
  <si>
    <t>Falp 225</t>
  </si>
  <si>
    <t>Falp 229</t>
  </si>
  <si>
    <t>Falp 048</t>
  </si>
  <si>
    <t>Falp 091</t>
  </si>
  <si>
    <t>Falp 100</t>
  </si>
  <si>
    <t>Falp 120</t>
  </si>
  <si>
    <t>Falp 165</t>
  </si>
  <si>
    <t>Falp 188</t>
  </si>
  <si>
    <t>Falp 220</t>
  </si>
  <si>
    <t>Falp 227</t>
  </si>
  <si>
    <t>Falp 240</t>
  </si>
  <si>
    <t>Falp 243</t>
  </si>
  <si>
    <t>Falp 087</t>
  </si>
  <si>
    <t>Falp 145</t>
  </si>
  <si>
    <t>Falp 193</t>
  </si>
  <si>
    <t>Falp 198</t>
  </si>
  <si>
    <t>Falp 206</t>
  </si>
  <si>
    <t>Falp 210</t>
  </si>
  <si>
    <t>Falp 222</t>
  </si>
  <si>
    <t>Falp 235</t>
  </si>
  <si>
    <t>Falp 230</t>
  </si>
  <si>
    <t>Falp 199</t>
  </si>
  <si>
    <t>CF58 001</t>
  </si>
  <si>
    <t>CF59 132</t>
  </si>
  <si>
    <t>CF60 001</t>
  </si>
  <si>
    <t>CF62 001</t>
  </si>
  <si>
    <t>CF63 002</t>
  </si>
  <si>
    <t>CF65 001</t>
  </si>
  <si>
    <t>CF67 001</t>
  </si>
  <si>
    <t>CF 68 001</t>
  </si>
  <si>
    <t>CF70 001</t>
  </si>
  <si>
    <t>CF71 003</t>
  </si>
  <si>
    <t>CF71 004</t>
  </si>
  <si>
    <t>CF73 001</t>
  </si>
  <si>
    <t>CF74 002</t>
  </si>
  <si>
    <t>CF75 001</t>
  </si>
  <si>
    <t>CF76 001</t>
  </si>
  <si>
    <t>CF77 001</t>
  </si>
  <si>
    <t>CF78 001</t>
  </si>
  <si>
    <t>CF80 002</t>
  </si>
  <si>
    <t>CF81 001</t>
  </si>
  <si>
    <t>CF82 001</t>
  </si>
  <si>
    <t>CF83 146</t>
  </si>
  <si>
    <t>CF84 001</t>
  </si>
  <si>
    <t>CF85 001</t>
  </si>
  <si>
    <t>CF86 002</t>
  </si>
  <si>
    <t>CF89 001</t>
  </si>
  <si>
    <t>CF37 004</t>
  </si>
  <si>
    <t>CF38 002</t>
  </si>
  <si>
    <t>CF39 002</t>
  </si>
  <si>
    <t>CF40 004</t>
  </si>
  <si>
    <t>CF41 003</t>
  </si>
  <si>
    <t>CF42 004</t>
  </si>
  <si>
    <t>CF43 003</t>
  </si>
  <si>
    <t>CF43 004</t>
  </si>
  <si>
    <t>CF46 006</t>
  </si>
  <si>
    <t>CF46 002</t>
  </si>
  <si>
    <t>CF47 004</t>
  </si>
  <si>
    <t>CF52 001</t>
  </si>
  <si>
    <t>CF53 003</t>
  </si>
  <si>
    <t>CF54 001</t>
  </si>
  <si>
    <t>CF56 005</t>
  </si>
  <si>
    <t>CF58 004</t>
  </si>
  <si>
    <t>CF60 009</t>
  </si>
  <si>
    <t>CF61 001</t>
  </si>
  <si>
    <t>CF62 003</t>
  </si>
  <si>
    <t>CF63 006</t>
  </si>
  <si>
    <t>CF64 001</t>
  </si>
  <si>
    <t>CF66 006</t>
  </si>
  <si>
    <t>CF66 170</t>
  </si>
  <si>
    <t>CF68 102</t>
  </si>
  <si>
    <t>CF68 168</t>
  </si>
  <si>
    <t>CF71 005</t>
  </si>
  <si>
    <t>CF72  143</t>
  </si>
  <si>
    <t>CF74 003</t>
  </si>
  <si>
    <t>CF80 184</t>
  </si>
  <si>
    <t>CF80 006</t>
  </si>
  <si>
    <t>CF83 148</t>
  </si>
  <si>
    <t>CF85 006</t>
  </si>
  <si>
    <t>CF86 006</t>
  </si>
  <si>
    <t>CF86 005</t>
  </si>
  <si>
    <t>CF88 003</t>
  </si>
  <si>
    <t>CF35 070</t>
  </si>
  <si>
    <t>CF39 055</t>
  </si>
  <si>
    <t>CF40 080</t>
  </si>
  <si>
    <t>CF41 113</t>
  </si>
  <si>
    <t>CF41 110</t>
  </si>
  <si>
    <t>CF43 016</t>
  </si>
  <si>
    <t>CF43 015</t>
  </si>
  <si>
    <t>CF45 004</t>
  </si>
  <si>
    <t>CF47 015</t>
  </si>
  <si>
    <t>CF52 009</t>
  </si>
  <si>
    <t>CF53 015</t>
  </si>
  <si>
    <t>CF54 011</t>
  </si>
  <si>
    <t>CF55 013</t>
  </si>
  <si>
    <t>CF57 010</t>
  </si>
  <si>
    <t>CF58 013</t>
  </si>
  <si>
    <t>CF59 142</t>
  </si>
  <si>
    <t>CF62 023</t>
  </si>
  <si>
    <t>CF64 012</t>
  </si>
  <si>
    <t>CF66 027</t>
  </si>
  <si>
    <t>CF67 015</t>
  </si>
  <si>
    <t>CF68 023</t>
  </si>
  <si>
    <t>CF69 021</t>
  </si>
  <si>
    <t>CF70 017</t>
  </si>
  <si>
    <t>CF71 027</t>
  </si>
  <si>
    <t>CF71 026</t>
  </si>
  <si>
    <t>CF72 023</t>
  </si>
  <si>
    <t>CF75 016</t>
  </si>
  <si>
    <t>CF76 013</t>
  </si>
  <si>
    <t>CF78 018</t>
  </si>
  <si>
    <t>CF 81 024</t>
  </si>
  <si>
    <t>CF80 024</t>
  </si>
  <si>
    <t>CF81 024</t>
  </si>
  <si>
    <t>CF82 024</t>
  </si>
  <si>
    <t>CF83 021</t>
  </si>
  <si>
    <t>CF84 028</t>
  </si>
  <si>
    <t>CF86 034</t>
  </si>
  <si>
    <t>CF87 031</t>
  </si>
  <si>
    <t>CF36 023</t>
  </si>
  <si>
    <t>CF37 033</t>
  </si>
  <si>
    <t>CF37 034</t>
  </si>
  <si>
    <t>CF40 029</t>
  </si>
  <si>
    <t>CF41 048</t>
  </si>
  <si>
    <t>CF44 013</t>
  </si>
  <si>
    <t>CF45 007</t>
  </si>
  <si>
    <t>CF50 039</t>
  </si>
  <si>
    <t>CF51 032</t>
  </si>
  <si>
    <t>CF52 028</t>
  </si>
  <si>
    <t>CF53 025</t>
  </si>
  <si>
    <t>CF54 025</t>
  </si>
  <si>
    <t>CF55 023</t>
  </si>
  <si>
    <t>CF56 024</t>
  </si>
  <si>
    <t>CF56 023</t>
  </si>
  <si>
    <t>CF58 034</t>
  </si>
  <si>
    <t>CF59 028</t>
  </si>
  <si>
    <t>CF60 039</t>
  </si>
  <si>
    <t>CF61 038</t>
  </si>
  <si>
    <t>CF62 035</t>
  </si>
  <si>
    <t>CF63 038</t>
  </si>
  <si>
    <t>CF63 154</t>
  </si>
  <si>
    <t>CF65 037</t>
  </si>
  <si>
    <t>CF66 039</t>
  </si>
  <si>
    <t>CF68 040</t>
  </si>
  <si>
    <t>CF66 044</t>
  </si>
  <si>
    <t>CF69 034</t>
  </si>
  <si>
    <t>CF70 032</t>
  </si>
  <si>
    <t>CF72 033</t>
  </si>
  <si>
    <t>CF72 151</t>
  </si>
  <si>
    <t>CF73 032</t>
  </si>
  <si>
    <t>CF75 028</t>
  </si>
  <si>
    <t>CF75 027</t>
  </si>
  <si>
    <t>CF77 037</t>
  </si>
  <si>
    <t>CF78 026</t>
  </si>
  <si>
    <t>CF80 042</t>
  </si>
  <si>
    <t>CF77 070</t>
  </si>
  <si>
    <t>CF81 047</t>
  </si>
  <si>
    <t>CF78 068</t>
  </si>
  <si>
    <t>CF82 078</t>
  </si>
  <si>
    <t>CF83 080</t>
  </si>
  <si>
    <t>CF84 099</t>
  </si>
  <si>
    <t>CF85 086</t>
  </si>
  <si>
    <t>CF45 015</t>
  </si>
  <si>
    <t>CF46 053</t>
  </si>
  <si>
    <t>CF51 071</t>
  </si>
  <si>
    <t>CF52 060</t>
  </si>
  <si>
    <t>CF53 054</t>
  </si>
  <si>
    <t>CF55 060</t>
  </si>
  <si>
    <t>CF57 155</t>
  </si>
  <si>
    <t>CF58 067</t>
  </si>
  <si>
    <t>CF59 065</t>
  </si>
  <si>
    <t>CF60 070</t>
  </si>
  <si>
    <t>CF62 081</t>
  </si>
  <si>
    <t>CF63 176</t>
  </si>
  <si>
    <t>CF65 084</t>
  </si>
  <si>
    <t>CF65 083</t>
  </si>
  <si>
    <t>CF68 105</t>
  </si>
  <si>
    <t>CF71 088</t>
  </si>
  <si>
    <t>CF73 085</t>
  </si>
  <si>
    <t>CF73 083</t>
  </si>
  <si>
    <t>CF75 139</t>
  </si>
  <si>
    <t>CF76 059</t>
  </si>
  <si>
    <t>CF76 072</t>
  </si>
  <si>
    <t>CF78 081</t>
  </si>
  <si>
    <t>CF79 089</t>
  </si>
  <si>
    <t>CF81 136</t>
  </si>
  <si>
    <t>CF79 053</t>
  </si>
  <si>
    <t>CF83 195</t>
  </si>
  <si>
    <t>CF83 095</t>
  </si>
  <si>
    <t>CF84 189</t>
  </si>
  <si>
    <t>CF87 114</t>
  </si>
  <si>
    <t>CF88 046</t>
  </si>
  <si>
    <t>CF54 071</t>
  </si>
  <si>
    <t>CF57 055</t>
  </si>
  <si>
    <t>CF66 099</t>
  </si>
  <si>
    <t>CF67 064</t>
  </si>
  <si>
    <t>CF67 063</t>
  </si>
  <si>
    <t>CF68 103</t>
  </si>
  <si>
    <t>CF77 083</t>
  </si>
  <si>
    <t>CF79 052</t>
  </si>
  <si>
    <t>CF80 240</t>
  </si>
  <si>
    <t>CF81 128</t>
  </si>
  <si>
    <t>CF83 203</t>
  </si>
  <si>
    <t>CF82 094</t>
  </si>
  <si>
    <t>CF83 092</t>
  </si>
  <si>
    <t>CF86 132</t>
  </si>
  <si>
    <t>CF85 098</t>
  </si>
  <si>
    <t>CF85 089</t>
  </si>
  <si>
    <t>CF83_032</t>
  </si>
  <si>
    <t>CF84_046</t>
  </si>
  <si>
    <t>CF89 040</t>
  </si>
  <si>
    <t>CF88 025</t>
  </si>
  <si>
    <t xml:space="preserve">This will yield all of the year-end financial statements or the budgets when year end statements were unavailable (see column headers in each sheet for guidance). </t>
  </si>
  <si>
    <t>To find Amparo's budget for 1863-1864:</t>
  </si>
  <si>
    <t>https://www.al.sp.gov.br/repositorioAH/Acervo/Alesp/Imperio/esp-034/CF63-002.pdf</t>
  </si>
  <si>
    <t>espetáculos públicos (public entertainment including fireworks)</t>
  </si>
  <si>
    <t>espetáculos públicos em geral (public entertainment)</t>
  </si>
  <si>
    <t>espetáculos públicos (public entertainment)</t>
  </si>
  <si>
    <t>espetáculos  (public entertainment)</t>
  </si>
  <si>
    <r>
      <t xml:space="preserve">Note:Caps and lower case matter when searching directly for a document.  </t>
    </r>
    <r>
      <rPr>
        <sz val="11"/>
        <color rgb="FFFF0000"/>
        <rFont val="Calibri"/>
        <family val="2"/>
        <scheme val="minor"/>
      </rPr>
      <t>For Falp documents</t>
    </r>
    <r>
      <rPr>
        <sz val="11"/>
        <color theme="1"/>
        <rFont val="Calibri"/>
        <family val="2"/>
        <scheme val="minor"/>
      </rPr>
      <t xml:space="preserve">, there is an </t>
    </r>
    <r>
      <rPr>
        <sz val="11"/>
        <color rgb="FFFF0000"/>
        <rFont val="Calibri"/>
        <family val="2"/>
        <scheme val="minor"/>
      </rPr>
      <t>underscore</t>
    </r>
    <r>
      <rPr>
        <sz val="11"/>
        <color theme="1"/>
        <rFont val="Calibri"/>
        <family val="2"/>
        <scheme val="minor"/>
      </rPr>
      <t xml:space="preserve"> between collection (Falp)_number and document (CF)_number.  </t>
    </r>
    <r>
      <rPr>
        <sz val="11"/>
        <color rgb="FFFF0000"/>
        <rFont val="Calibri"/>
        <family val="2"/>
        <scheme val="minor"/>
      </rPr>
      <t>For esp documents</t>
    </r>
    <r>
      <rPr>
        <sz val="11"/>
        <color theme="1"/>
        <rFont val="Calibri"/>
        <family val="2"/>
        <scheme val="minor"/>
      </rPr>
      <t xml:space="preserve">, there is a </t>
    </r>
    <r>
      <rPr>
        <sz val="11"/>
        <color rgb="FFFF0000"/>
        <rFont val="Calibri"/>
        <family val="2"/>
        <scheme val="minor"/>
      </rPr>
      <t>dash</t>
    </r>
    <r>
      <rPr>
        <sz val="11"/>
        <color theme="1"/>
        <rFont val="Calibri"/>
        <family val="2"/>
        <scheme val="minor"/>
      </rPr>
      <t xml:space="preserve"> between the collection (esp)-number and document (CF)-number.</t>
    </r>
  </si>
  <si>
    <t>The fiscal year underwent several changes during the Empire.  The original fiscal year ran from 1 October to 30 September and was in place from October 1834 to September 1850. After a transitional fifteen-month fiscal year, reported for 1 October 1850 to 31 December 1851, São Paulo municipalities moved to a calendar fiscal year that ran from 1 January 1852 to 31 December 1861. In 1862, municipalities reported results for the January–June period, and then transitioned to a new fiscal year that ran from 1 July to 30 June. The fiscal format began in July 1862 and was in effect through June 1890.</t>
  </si>
  <si>
    <r>
      <rPr>
        <sz val="13"/>
        <color rgb="FFFF0000"/>
        <rFont val="Times New Roman"/>
        <family val="1"/>
      </rPr>
      <t>The citation for this data</t>
    </r>
    <r>
      <rPr>
        <sz val="13"/>
        <color theme="1"/>
        <rFont val="Times New Roman"/>
        <family val="1"/>
      </rPr>
      <t xml:space="preserve"> follows this pattern:  Acervo Histórico da Assembleia Legislativa do Estado de São Paulo (ALESP). Coleção Império, Documentos, Municipal Collections. [name of municipality, e.g. Amparo], [collection and number, e.g. Falp 132], [document and number, e.g. CF 65-001]</t>
    </r>
  </si>
  <si>
    <r>
      <t xml:space="preserve">The data include ex post results and ex ante budgets. </t>
    </r>
    <r>
      <rPr>
        <sz val="13"/>
        <color rgb="FFFF0000"/>
        <rFont val="Times New Roman"/>
        <family val="1"/>
      </rPr>
      <t>Budgets are clearly marked by a highlighted cell in the header</t>
    </r>
    <r>
      <rPr>
        <sz val="13"/>
        <color theme="1"/>
        <rFont val="Times New Roman"/>
        <family val="1"/>
      </rPr>
      <t xml:space="preserve">.  It is imperative when working with this data that you maintain the clear distinction between the two.  Work done by myself and Luciana Suarez Lopes has definitively shown that </t>
    </r>
    <r>
      <rPr>
        <sz val="13"/>
        <color rgb="FFFF0000"/>
        <rFont val="Times New Roman"/>
        <family val="1"/>
      </rPr>
      <t xml:space="preserve"> budgets bear </t>
    </r>
    <r>
      <rPr>
        <u/>
        <sz val="13"/>
        <color rgb="FFFF0000"/>
        <rFont val="Times New Roman"/>
        <family val="1"/>
      </rPr>
      <t>no comparison</t>
    </r>
    <r>
      <rPr>
        <sz val="13"/>
        <color rgb="FFFF0000"/>
        <rFont val="Times New Roman"/>
        <family val="1"/>
      </rPr>
      <t xml:space="preserve"> to actual results</t>
    </r>
    <r>
      <rPr>
        <sz val="13"/>
        <color theme="1"/>
        <rFont val="Times New Roman"/>
        <family val="1"/>
      </rPr>
      <t xml:space="preserve">.  They cannot be used to approximate actual financial conditions.  The difference in historical interpretation that results from the use of budgets as opposed to actual results is staggering. This point cannot be stated strongly enough. </t>
    </r>
    <r>
      <rPr>
        <sz val="13"/>
        <color rgb="FFFF0000"/>
        <rFont val="Times New Roman"/>
        <family val="1"/>
      </rPr>
      <t>See</t>
    </r>
    <r>
      <rPr>
        <sz val="13"/>
        <color theme="1"/>
        <rFont val="Times New Roman"/>
        <family val="1"/>
      </rPr>
      <t xml:space="preserve"> Lopes, Luciana Suarez, and Anne G. Hanley. “Alice in Accounting Land: The Adventures of Two Economic Historians in Accounting Records of the 19th Century.” Special issue, </t>
    </r>
    <r>
      <rPr>
        <i/>
        <sz val="13"/>
        <color theme="1"/>
        <rFont val="Times New Roman"/>
        <family val="1"/>
      </rPr>
      <t>Revista Contabilidade &amp; Finanças</t>
    </r>
    <r>
      <rPr>
        <sz val="13"/>
        <color theme="1"/>
        <rFont val="Times New Roman"/>
        <family val="1"/>
      </rPr>
      <t xml:space="preserve"> 25 (September/December 2014): 355–63.</t>
    </r>
  </si>
  <si>
    <t>The seven municipal tabs offer revenue and expenditure data transcribed from manuscript documents held in the historical archive (Acervo Histórico) of the São Paulo State Legislative Assembly. Instruction on how to access the original manuscripts is in the next tab, "Search terms."</t>
  </si>
  <si>
    <t>All figures are in nominal reis.  The unit of currency in the period was the milréis or 1,000 reis, expressed as 1$000.  In these sheets the $ is represented by a comma.</t>
  </si>
  <si>
    <r>
      <t xml:space="preserve">The seven municipal tabs offer revenue and expenditure data transcribed from manuscript documents held in the historical archive (Acervo Histórico) of the São Paulo State Legislative Assembly. To access the original documents, copy and paste the </t>
    </r>
    <r>
      <rPr>
        <sz val="11"/>
        <color rgb="FFFF0000"/>
        <rFont val="Calibri"/>
        <family val="2"/>
        <scheme val="minor"/>
      </rPr>
      <t>root URL</t>
    </r>
    <r>
      <rPr>
        <sz val="11"/>
        <color theme="1"/>
        <rFont val="Calibri"/>
        <family val="2"/>
        <scheme val="minor"/>
      </rPr>
      <t xml:space="preserve"> into your browser, followed by the </t>
    </r>
    <r>
      <rPr>
        <sz val="11"/>
        <color theme="8"/>
        <rFont val="Calibri"/>
        <family val="2"/>
        <scheme val="minor"/>
      </rPr>
      <t>collection and document information</t>
    </r>
    <r>
      <rPr>
        <sz val="11"/>
        <color theme="1"/>
        <rFont val="Calibri"/>
        <family val="2"/>
        <scheme val="minor"/>
      </rPr>
      <t xml:space="preserve"> found at the top of the column: </t>
    </r>
    <r>
      <rPr>
        <sz val="11"/>
        <color rgb="FFFF0000"/>
        <rFont val="Calibri"/>
        <family val="2"/>
        <scheme val="minor"/>
      </rPr>
      <t>https://www.al.sp.gov.br/repositorioAH/Acervo/Alesp/Imperio/</t>
    </r>
    <r>
      <rPr>
        <sz val="11"/>
        <color theme="8"/>
        <rFont val="Calibri"/>
        <family val="2"/>
        <scheme val="minor"/>
      </rPr>
      <t>Collection and number/document and number.pdf</t>
    </r>
  </si>
  <si>
    <t>Periodo:</t>
  </si>
  <si>
    <t>Ano:</t>
  </si>
  <si>
    <t>Termo para busca:</t>
  </si>
  <si>
    <t>Localidade:</t>
  </si>
  <si>
    <t>Ano means "year"</t>
  </si>
  <si>
    <t>Termo para busca means "search term"; Prestacao means "presentation of accounts" or actual results; Orcamento means "budget"</t>
  </si>
  <si>
    <t>Localidade means "locale" or municipality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</si>
</sst>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409]d\-mmm\-yyyy;@"/>
  </numFmts>
  <fonts count="25" x14ac:knownFonts="1">
    <font>
      <sz val="11"/>
      <color theme="1"/>
      <name val="Calibri"/>
      <family val="2"/>
      <scheme val="minor"/>
    </font>
    <font>
      <b/>
      <sz val="11"/>
      <color theme="1"/>
      <name val="Calibri"/>
      <family val="2"/>
      <scheme val="minor"/>
    </font>
    <font>
      <sz val="10"/>
      <name val="Arial"/>
      <family val="2"/>
    </font>
    <font>
      <b/>
      <sz val="10"/>
      <name val="Arial"/>
      <family val="2"/>
    </font>
    <font>
      <b/>
      <sz val="9"/>
      <color indexed="81"/>
      <name val="Tahoma"/>
      <family val="2"/>
    </font>
    <font>
      <sz val="9"/>
      <color indexed="81"/>
      <name val="Tahoma"/>
      <family val="2"/>
    </font>
    <font>
      <b/>
      <sz val="8"/>
      <color indexed="81"/>
      <name val="Tahoma"/>
      <family val="2"/>
    </font>
    <font>
      <sz val="8"/>
      <color indexed="81"/>
      <name val="Tahoma"/>
      <family val="2"/>
    </font>
    <font>
      <sz val="11"/>
      <color theme="1"/>
      <name val="Calibri"/>
      <family val="2"/>
    </font>
    <font>
      <sz val="11"/>
      <name val="Calibri"/>
      <family val="2"/>
    </font>
    <font>
      <sz val="11"/>
      <color theme="1"/>
      <name val="Tahoma"/>
      <family val="2"/>
    </font>
    <font>
      <sz val="11"/>
      <name val="Calibri"/>
      <family val="2"/>
      <scheme val="minor"/>
    </font>
    <font>
      <b/>
      <sz val="11"/>
      <name val="Calibri"/>
      <family val="2"/>
      <scheme val="minor"/>
    </font>
    <font>
      <sz val="11"/>
      <color rgb="FF000000"/>
      <name val="Calibri"/>
      <family val="2"/>
      <scheme val="minor"/>
    </font>
    <font>
      <sz val="12"/>
      <name val="Calibri"/>
      <family val="2"/>
    </font>
    <font>
      <b/>
      <sz val="12"/>
      <name val="Calibri"/>
      <family val="2"/>
    </font>
    <font>
      <sz val="11"/>
      <color rgb="FF000000"/>
      <name val="Calibri"/>
      <family val="2"/>
    </font>
    <font>
      <sz val="12"/>
      <color rgb="FF000000"/>
      <name val="Calibri"/>
      <family val="2"/>
    </font>
    <font>
      <sz val="11"/>
      <color rgb="FFFF0000"/>
      <name val="Calibri"/>
      <family val="2"/>
      <scheme val="minor"/>
    </font>
    <font>
      <u/>
      <sz val="11"/>
      <color theme="10"/>
      <name val="Calibri"/>
      <family val="2"/>
      <scheme val="minor"/>
    </font>
    <font>
      <sz val="11"/>
      <color theme="8"/>
      <name val="Calibri"/>
      <family val="2"/>
      <scheme val="minor"/>
    </font>
    <font>
      <sz val="13"/>
      <color theme="1"/>
      <name val="Times New Roman"/>
      <family val="1"/>
    </font>
    <font>
      <sz val="13"/>
      <color rgb="FFFF0000"/>
      <name val="Times New Roman"/>
      <family val="1"/>
    </font>
    <font>
      <u/>
      <sz val="13"/>
      <color rgb="FFFF0000"/>
      <name val="Times New Roman"/>
      <family val="1"/>
    </font>
    <font>
      <i/>
      <sz val="13"/>
      <color theme="1"/>
      <name val="Times New Roman"/>
      <family val="1"/>
    </font>
  </fonts>
  <fills count="7">
    <fill>
      <patternFill patternType="none"/>
    </fill>
    <fill>
      <patternFill patternType="gray125"/>
    </fill>
    <fill>
      <patternFill patternType="solid">
        <fgColor theme="5"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9" tint="0.39997558519241921"/>
        <bgColor indexed="64"/>
      </patternFill>
    </fill>
    <fill>
      <patternFill patternType="solid">
        <fgColor theme="4"/>
        <bgColor indexed="64"/>
      </patternFill>
    </fill>
  </fills>
  <borders count="3">
    <border>
      <left/>
      <right/>
      <top/>
      <bottom/>
      <diagonal/>
    </border>
    <border>
      <left/>
      <right style="double">
        <color indexed="64"/>
      </right>
      <top/>
      <bottom/>
      <diagonal/>
    </border>
    <border>
      <left style="double">
        <color indexed="64"/>
      </left>
      <right style="double">
        <color indexed="64"/>
      </right>
      <top/>
      <bottom/>
      <diagonal/>
    </border>
  </borders>
  <cellStyleXfs count="2">
    <xf numFmtId="0" fontId="0" fillId="0" borderId="0"/>
    <xf numFmtId="0" fontId="19" fillId="0" borderId="0" applyNumberFormat="0" applyFill="0" applyBorder="0" applyAlignment="0" applyProtection="0"/>
  </cellStyleXfs>
  <cellXfs count="175">
    <xf numFmtId="0" fontId="0" fillId="0" borderId="0" xfId="0"/>
    <xf numFmtId="0" fontId="0" fillId="0" borderId="0" xfId="0" applyAlignment="1">
      <alignment horizontal="center"/>
    </xf>
    <xf numFmtId="3" fontId="0" fillId="0" borderId="0" xfId="0" applyNumberFormat="1" applyAlignment="1">
      <alignment horizontal="center"/>
    </xf>
    <xf numFmtId="3" fontId="2" fillId="0" borderId="0" xfId="0" applyNumberFormat="1" applyFont="1" applyAlignment="1">
      <alignment horizontal="center"/>
    </xf>
    <xf numFmtId="0" fontId="2" fillId="0" borderId="0" xfId="0" applyFont="1" applyAlignment="1">
      <alignment horizontal="center"/>
    </xf>
    <xf numFmtId="0" fontId="3" fillId="0" borderId="0" xfId="0" applyFont="1" applyAlignment="1">
      <alignment horizontal="center"/>
    </xf>
    <xf numFmtId="0" fontId="3" fillId="0" borderId="0" xfId="0" applyNumberFormat="1" applyFont="1" applyAlignment="1">
      <alignment horizontal="center"/>
    </xf>
    <xf numFmtId="3" fontId="0" fillId="0" borderId="0" xfId="0" applyNumberFormat="1"/>
    <xf numFmtId="3" fontId="3" fillId="0" borderId="0" xfId="0" applyNumberFormat="1" applyFont="1"/>
    <xf numFmtId="0" fontId="1" fillId="0" borderId="0" xfId="0" applyFont="1"/>
    <xf numFmtId="3" fontId="1" fillId="0" borderId="0" xfId="0" applyNumberFormat="1" applyFont="1"/>
    <xf numFmtId="0" fontId="0" fillId="2" borderId="0" xfId="0" applyFill="1" applyAlignment="1">
      <alignment horizontal="center"/>
    </xf>
    <xf numFmtId="3" fontId="0" fillId="2" borderId="0" xfId="0" applyNumberFormat="1" applyFill="1" applyAlignment="1">
      <alignment horizontal="center"/>
    </xf>
    <xf numFmtId="3" fontId="11" fillId="0" borderId="0" xfId="0" applyNumberFormat="1" applyFont="1"/>
    <xf numFmtId="0" fontId="0" fillId="0" borderId="0" xfId="0" applyFont="1"/>
    <xf numFmtId="0" fontId="0" fillId="0" borderId="0" xfId="0" applyFont="1" applyAlignment="1">
      <alignment horizontal="center"/>
    </xf>
    <xf numFmtId="3" fontId="0" fillId="0" borderId="0" xfId="0" applyNumberFormat="1" applyFont="1" applyAlignment="1">
      <alignment horizontal="center"/>
    </xf>
    <xf numFmtId="3" fontId="0" fillId="0" borderId="0" xfId="0" applyNumberFormat="1" applyFont="1"/>
    <xf numFmtId="3" fontId="11" fillId="0" borderId="0" xfId="0" applyNumberFormat="1" applyFont="1" applyAlignment="1">
      <alignment horizontal="right"/>
    </xf>
    <xf numFmtId="3" fontId="0" fillId="0" borderId="0" xfId="0" applyNumberFormat="1" applyFont="1" applyAlignment="1">
      <alignment horizontal="right"/>
    </xf>
    <xf numFmtId="0" fontId="0" fillId="0" borderId="0" xfId="0" applyFont="1" applyAlignment="1">
      <alignment horizontal="right"/>
    </xf>
    <xf numFmtId="0" fontId="0" fillId="3" borderId="0" xfId="0" applyFont="1" applyFill="1"/>
    <xf numFmtId="3" fontId="11" fillId="0" borderId="0" xfId="0" applyNumberFormat="1" applyFont="1" applyAlignment="1">
      <alignment horizontal="center"/>
    </xf>
    <xf numFmtId="0" fontId="11" fillId="0" borderId="0" xfId="0" applyFont="1" applyAlignment="1">
      <alignment horizontal="center"/>
    </xf>
    <xf numFmtId="0" fontId="12" fillId="0" borderId="0" xfId="0" applyNumberFormat="1" applyFont="1" applyAlignment="1">
      <alignment horizontal="center"/>
    </xf>
    <xf numFmtId="0" fontId="12" fillId="0" borderId="0" xfId="0" applyFont="1" applyAlignment="1">
      <alignment horizontal="center"/>
    </xf>
    <xf numFmtId="3" fontId="12" fillId="0" borderId="0" xfId="0" applyNumberFormat="1" applyFont="1" applyAlignment="1">
      <alignment horizontal="center"/>
    </xf>
    <xf numFmtId="0" fontId="12" fillId="0" borderId="0" xfId="0" applyFont="1"/>
    <xf numFmtId="3" fontId="12" fillId="0" borderId="0" xfId="0" applyNumberFormat="1" applyFont="1"/>
    <xf numFmtId="0" fontId="11" fillId="0" borderId="0" xfId="0" applyFont="1"/>
    <xf numFmtId="3" fontId="12" fillId="0" borderId="0" xfId="0" applyNumberFormat="1" applyFont="1" applyAlignment="1">
      <alignment horizontal="right"/>
    </xf>
    <xf numFmtId="0" fontId="11" fillId="0" borderId="0" xfId="0" applyNumberFormat="1" applyFont="1" applyAlignment="1">
      <alignment horizontal="center"/>
    </xf>
    <xf numFmtId="0" fontId="11" fillId="0" borderId="0" xfId="0" applyNumberFormat="1" applyFont="1"/>
    <xf numFmtId="0" fontId="11" fillId="0" borderId="0" xfId="0" applyNumberFormat="1" applyFont="1" applyAlignment="1">
      <alignment horizontal="right"/>
    </xf>
    <xf numFmtId="0" fontId="11" fillId="0" borderId="0" xfId="0" applyFont="1" applyAlignment="1">
      <alignment wrapText="1"/>
    </xf>
    <xf numFmtId="0" fontId="11" fillId="0" borderId="0" xfId="0" applyFont="1" applyAlignment="1">
      <alignment horizontal="left" wrapText="1"/>
    </xf>
    <xf numFmtId="0" fontId="12" fillId="0" borderId="0" xfId="0" applyNumberFormat="1" applyFont="1"/>
    <xf numFmtId="0" fontId="11" fillId="0" borderId="0" xfId="0" applyFont="1" applyAlignment="1">
      <alignment horizontal="right"/>
    </xf>
    <xf numFmtId="0" fontId="2" fillId="0" borderId="0" xfId="0" applyNumberFormat="1" applyFont="1" applyAlignment="1">
      <alignment horizontal="center"/>
    </xf>
    <xf numFmtId="3" fontId="0" fillId="2" borderId="0" xfId="0" applyNumberFormat="1" applyFont="1" applyFill="1" applyAlignment="1">
      <alignment horizontal="center"/>
    </xf>
    <xf numFmtId="0" fontId="3" fillId="0" borderId="0" xfId="0" applyFont="1"/>
    <xf numFmtId="0" fontId="13" fillId="0" borderId="0" xfId="0" applyFont="1" applyAlignment="1">
      <alignment vertical="center"/>
    </xf>
    <xf numFmtId="3" fontId="1" fillId="0" borderId="0" xfId="0" applyNumberFormat="1" applyFont="1" applyAlignment="1">
      <alignment horizontal="right"/>
    </xf>
    <xf numFmtId="3" fontId="0" fillId="0" borderId="0" xfId="0" applyNumberFormat="1" applyAlignment="1">
      <alignment wrapText="1"/>
    </xf>
    <xf numFmtId="38" fontId="12" fillId="0" borderId="0" xfId="0" applyNumberFormat="1" applyFont="1"/>
    <xf numFmtId="38" fontId="3" fillId="0" borderId="0" xfId="0" applyNumberFormat="1" applyFont="1"/>
    <xf numFmtId="38" fontId="0" fillId="0" borderId="0" xfId="0" applyNumberFormat="1"/>
    <xf numFmtId="38" fontId="0" fillId="0" borderId="0" xfId="0" applyNumberFormat="1" applyFont="1"/>
    <xf numFmtId="0" fontId="14" fillId="0" borderId="0" xfId="0" applyFont="1" applyAlignment="1">
      <alignment horizontal="center"/>
    </xf>
    <xf numFmtId="3" fontId="14" fillId="0" borderId="0" xfId="0" applyNumberFormat="1" applyFont="1" applyAlignment="1">
      <alignment horizontal="center"/>
    </xf>
    <xf numFmtId="164" fontId="14" fillId="0" borderId="0" xfId="0" applyNumberFormat="1" applyFont="1" applyAlignment="1">
      <alignment horizontal="center"/>
    </xf>
    <xf numFmtId="0" fontId="8" fillId="0" borderId="0" xfId="0" applyFont="1"/>
    <xf numFmtId="165" fontId="14" fillId="0" borderId="0" xfId="0" applyNumberFormat="1" applyFont="1" applyAlignment="1">
      <alignment horizontal="center"/>
    </xf>
    <xf numFmtId="3" fontId="14" fillId="2" borderId="0" xfId="0" applyNumberFormat="1" applyFont="1" applyFill="1" applyAlignment="1">
      <alignment horizontal="center"/>
    </xf>
    <xf numFmtId="0" fontId="14" fillId="2" borderId="0" xfId="0" applyFont="1" applyFill="1" applyAlignment="1">
      <alignment horizontal="center"/>
    </xf>
    <xf numFmtId="0" fontId="15" fillId="0" borderId="0" xfId="0" applyFont="1"/>
    <xf numFmtId="3" fontId="15" fillId="0" borderId="0" xfId="0" applyNumberFormat="1" applyFont="1"/>
    <xf numFmtId="3" fontId="15" fillId="0" borderId="0" xfId="0" applyNumberFormat="1" applyFont="1" applyAlignment="1">
      <alignment horizontal="center"/>
    </xf>
    <xf numFmtId="0" fontId="14" fillId="0" borderId="0" xfId="0" applyFont="1"/>
    <xf numFmtId="3" fontId="14" fillId="0" borderId="0" xfId="0" applyNumberFormat="1" applyFont="1"/>
    <xf numFmtId="164" fontId="15" fillId="0" borderId="0" xfId="0" applyNumberFormat="1" applyFont="1"/>
    <xf numFmtId="3" fontId="14" fillId="0" borderId="0" xfId="0" applyNumberFormat="1" applyFont="1" applyAlignment="1">
      <alignment horizontal="right"/>
    </xf>
    <xf numFmtId="164" fontId="14" fillId="0" borderId="0" xfId="0" applyNumberFormat="1" applyFont="1"/>
    <xf numFmtId="3" fontId="14" fillId="0" borderId="0" xfId="0" applyNumberFormat="1" applyFont="1" applyAlignment="1">
      <alignment horizontal="left"/>
    </xf>
    <xf numFmtId="0" fontId="14" fillId="0" borderId="0" xfId="0" applyFont="1" applyAlignment="1">
      <alignment horizontal="right"/>
    </xf>
    <xf numFmtId="164" fontId="14" fillId="0" borderId="0" xfId="0" applyNumberFormat="1" applyFont="1" applyAlignment="1">
      <alignment horizontal="right"/>
    </xf>
    <xf numFmtId="3" fontId="15" fillId="0" borderId="0" xfId="0" applyNumberFormat="1" applyFont="1" applyAlignment="1">
      <alignment horizontal="right"/>
    </xf>
    <xf numFmtId="0" fontId="8" fillId="6" borderId="0" xfId="0" applyFont="1" applyFill="1"/>
    <xf numFmtId="164" fontId="0" fillId="0" borderId="0" xfId="0" applyNumberFormat="1" applyAlignment="1">
      <alignment horizontal="center"/>
    </xf>
    <xf numFmtId="0" fontId="3" fillId="5" borderId="0" xfId="0" applyNumberFormat="1" applyFont="1" applyFill="1" applyAlignment="1">
      <alignment horizontal="center"/>
    </xf>
    <xf numFmtId="165" fontId="0" fillId="0" borderId="0" xfId="0" applyNumberFormat="1" applyAlignment="1">
      <alignment horizontal="center"/>
    </xf>
    <xf numFmtId="165" fontId="2" fillId="0" borderId="0" xfId="0" applyNumberFormat="1" applyFont="1" applyAlignment="1">
      <alignment horizontal="center"/>
    </xf>
    <xf numFmtId="164" fontId="0" fillId="0" borderId="0" xfId="0" applyNumberFormat="1"/>
    <xf numFmtId="164" fontId="3" fillId="0" borderId="0" xfId="0" applyNumberFormat="1" applyFont="1"/>
    <xf numFmtId="0" fontId="3" fillId="0" borderId="0" xfId="0" applyNumberFormat="1" applyFont="1"/>
    <xf numFmtId="0" fontId="13" fillId="0" borderId="0" xfId="0" applyFont="1" applyAlignment="1">
      <alignment vertical="center" wrapText="1"/>
    </xf>
    <xf numFmtId="0" fontId="0" fillId="0" borderId="0" xfId="0" applyAlignment="1">
      <alignment wrapText="1"/>
    </xf>
    <xf numFmtId="9" fontId="0" fillId="0" borderId="0" xfId="0" applyNumberFormat="1"/>
    <xf numFmtId="0" fontId="1" fillId="0" borderId="0" xfId="0" applyFont="1" applyAlignment="1">
      <alignment horizontal="center" wrapText="1"/>
    </xf>
    <xf numFmtId="0" fontId="0" fillId="0" borderId="0" xfId="0" applyFont="1" applyAlignment="1">
      <alignment horizontal="center" wrapText="1"/>
    </xf>
    <xf numFmtId="0" fontId="11" fillId="0" borderId="0" xfId="0" applyFont="1" applyAlignment="1">
      <alignment horizontal="center" wrapText="1"/>
    </xf>
    <xf numFmtId="3" fontId="0" fillId="0" borderId="0" xfId="0" applyNumberFormat="1" applyFont="1" applyAlignment="1">
      <alignment horizontal="center" wrapText="1"/>
    </xf>
    <xf numFmtId="3" fontId="11" fillId="0" borderId="0" xfId="0" applyNumberFormat="1" applyFont="1" applyAlignment="1">
      <alignment wrapText="1"/>
    </xf>
    <xf numFmtId="0" fontId="0" fillId="0" borderId="0" xfId="0" applyFont="1" applyAlignment="1">
      <alignment wrapText="1"/>
    </xf>
    <xf numFmtId="3" fontId="2" fillId="0" borderId="0" xfId="0" applyNumberFormat="1" applyFont="1" applyAlignment="1">
      <alignment wrapText="1"/>
    </xf>
    <xf numFmtId="3" fontId="3" fillId="0" borderId="0" xfId="0" applyNumberFormat="1" applyFont="1" applyAlignment="1">
      <alignment wrapText="1"/>
    </xf>
    <xf numFmtId="3" fontId="1" fillId="0" borderId="0" xfId="0" applyNumberFormat="1" applyFont="1" applyAlignment="1">
      <alignment horizontal="left" wrapText="1"/>
    </xf>
    <xf numFmtId="0" fontId="0" fillId="0" borderId="0" xfId="0" applyAlignment="1">
      <alignment vertical="center" wrapText="1"/>
    </xf>
    <xf numFmtId="3" fontId="0" fillId="0" borderId="0" xfId="0" applyNumberFormat="1" applyFont="1" applyAlignment="1">
      <alignment wrapText="1"/>
    </xf>
    <xf numFmtId="3" fontId="12" fillId="0" borderId="0" xfId="0" applyNumberFormat="1" applyFont="1" applyAlignment="1">
      <alignment wrapText="1"/>
    </xf>
    <xf numFmtId="0" fontId="1" fillId="0" borderId="0" xfId="0" applyFont="1" applyAlignment="1">
      <alignment wrapText="1"/>
    </xf>
    <xf numFmtId="3" fontId="3" fillId="0" borderId="0" xfId="0" applyNumberFormat="1" applyFont="1" applyAlignment="1">
      <alignment horizontal="center" vertical="center" wrapText="1"/>
    </xf>
    <xf numFmtId="0" fontId="0" fillId="6" borderId="0" xfId="0" applyFont="1" applyFill="1"/>
    <xf numFmtId="3" fontId="11" fillId="2" borderId="0" xfId="0" applyNumberFormat="1" applyFont="1" applyFill="1" applyAlignment="1">
      <alignment horizontal="center"/>
    </xf>
    <xf numFmtId="0" fontId="0" fillId="3" borderId="0" xfId="0" applyFont="1" applyFill="1" applyAlignment="1">
      <alignment wrapText="1"/>
    </xf>
    <xf numFmtId="0" fontId="2" fillId="0" borderId="0" xfId="0" applyFont="1" applyAlignment="1">
      <alignment horizontal="center" wrapText="1"/>
    </xf>
    <xf numFmtId="3" fontId="11" fillId="0" borderId="0" xfId="0" applyNumberFormat="1" applyFont="1" applyAlignment="1"/>
    <xf numFmtId="3" fontId="12" fillId="0" borderId="0" xfId="0" applyNumberFormat="1" applyFont="1" applyAlignment="1"/>
    <xf numFmtId="0" fontId="12" fillId="0" borderId="0" xfId="0" applyFont="1" applyAlignment="1">
      <alignment wrapText="1"/>
    </xf>
    <xf numFmtId="0" fontId="0" fillId="0" borderId="0" xfId="0" applyFont="1" applyAlignment="1">
      <alignment horizontal="left" wrapText="1"/>
    </xf>
    <xf numFmtId="3" fontId="12" fillId="0" borderId="0" xfId="0" applyNumberFormat="1" applyFont="1" applyAlignment="1">
      <alignment horizontal="right" wrapText="1"/>
    </xf>
    <xf numFmtId="3" fontId="0" fillId="4" borderId="0" xfId="0" applyNumberFormat="1" applyFont="1" applyFill="1" applyAlignment="1">
      <alignment horizontal="center" wrapText="1"/>
    </xf>
    <xf numFmtId="3" fontId="0" fillId="4" borderId="0" xfId="0" applyNumberFormat="1" applyFont="1" applyFill="1" applyAlignment="1">
      <alignment horizontal="center"/>
    </xf>
    <xf numFmtId="3" fontId="0" fillId="4" borderId="0" xfId="0" applyNumberFormat="1" applyFont="1" applyFill="1"/>
    <xf numFmtId="0" fontId="0" fillId="4" borderId="0" xfId="0" applyFont="1" applyFill="1"/>
    <xf numFmtId="0" fontId="0" fillId="0" borderId="0" xfId="0" applyFont="1" applyAlignment="1">
      <alignment vertical="center" wrapText="1"/>
    </xf>
    <xf numFmtId="3" fontId="12" fillId="2" borderId="0" xfId="0" applyNumberFormat="1" applyFont="1" applyFill="1" applyAlignment="1">
      <alignment horizontal="center"/>
    </xf>
    <xf numFmtId="3" fontId="12" fillId="0" borderId="0" xfId="0" applyNumberFormat="1" applyFont="1" applyAlignment="1">
      <alignment horizontal="center" vertical="center" wrapText="1"/>
    </xf>
    <xf numFmtId="38" fontId="0" fillId="0" borderId="0" xfId="0" applyNumberFormat="1" applyFont="1" applyAlignment="1">
      <alignment horizontal="right"/>
    </xf>
    <xf numFmtId="3" fontId="0" fillId="0" borderId="2" xfId="0" applyNumberFormat="1" applyFont="1" applyBorder="1" applyAlignment="1">
      <alignment horizontal="center"/>
    </xf>
    <xf numFmtId="3" fontId="0" fillId="5" borderId="0" xfId="0" applyNumberFormat="1" applyFont="1" applyFill="1" applyAlignment="1">
      <alignment horizontal="center"/>
    </xf>
    <xf numFmtId="3" fontId="0" fillId="5" borderId="2" xfId="0" applyNumberFormat="1" applyFont="1" applyFill="1" applyBorder="1" applyAlignment="1">
      <alignment horizontal="center"/>
    </xf>
    <xf numFmtId="3" fontId="0" fillId="0" borderId="2" xfId="0" applyNumberFormat="1" applyFont="1" applyBorder="1" applyAlignment="1">
      <alignment horizontal="right"/>
    </xf>
    <xf numFmtId="3" fontId="0" fillId="0" borderId="2" xfId="0" applyNumberFormat="1" applyFont="1" applyBorder="1"/>
    <xf numFmtId="3" fontId="11" fillId="0" borderId="1" xfId="0" applyNumberFormat="1" applyFont="1" applyBorder="1" applyAlignment="1">
      <alignment horizontal="center"/>
    </xf>
    <xf numFmtId="3" fontId="11" fillId="0" borderId="2" xfId="0" applyNumberFormat="1" applyFont="1" applyBorder="1" applyAlignment="1">
      <alignment horizontal="center"/>
    </xf>
    <xf numFmtId="0" fontId="12" fillId="0" borderId="1" xfId="0" applyNumberFormat="1" applyFont="1" applyBorder="1" applyAlignment="1">
      <alignment horizontal="center"/>
    </xf>
    <xf numFmtId="0" fontId="12" fillId="0" borderId="2" xfId="0" applyNumberFormat="1" applyFont="1" applyBorder="1" applyAlignment="1">
      <alignment horizontal="center"/>
    </xf>
    <xf numFmtId="0" fontId="12" fillId="0" borderId="1" xfId="0" applyFont="1" applyBorder="1"/>
    <xf numFmtId="0" fontId="12" fillId="0" borderId="2" xfId="0" applyFont="1" applyBorder="1"/>
    <xf numFmtId="3" fontId="11" fillId="0" borderId="1" xfId="0" applyNumberFormat="1" applyFont="1" applyBorder="1" applyAlignment="1">
      <alignment horizontal="right"/>
    </xf>
    <xf numFmtId="3" fontId="11" fillId="0" borderId="2" xfId="0" applyNumberFormat="1" applyFont="1" applyBorder="1" applyAlignment="1">
      <alignment horizontal="right"/>
    </xf>
    <xf numFmtId="3" fontId="12" fillId="0" borderId="1" xfId="0" applyNumberFormat="1" applyFont="1" applyBorder="1" applyAlignment="1">
      <alignment horizontal="right"/>
    </xf>
    <xf numFmtId="0" fontId="12" fillId="5" borderId="0" xfId="0" applyNumberFormat="1" applyFont="1" applyFill="1" applyAlignment="1">
      <alignment horizontal="center"/>
    </xf>
    <xf numFmtId="0" fontId="12" fillId="5" borderId="2" xfId="0" applyNumberFormat="1" applyFont="1" applyFill="1" applyBorder="1" applyAlignment="1">
      <alignment horizontal="center"/>
    </xf>
    <xf numFmtId="3" fontId="12" fillId="0" borderId="2" xfId="0" applyNumberFormat="1" applyFont="1" applyBorder="1"/>
    <xf numFmtId="3" fontId="12" fillId="0" borderId="2" xfId="0" applyNumberFormat="1" applyFont="1" applyBorder="1" applyAlignment="1">
      <alignment horizontal="right"/>
    </xf>
    <xf numFmtId="0" fontId="14" fillId="0" borderId="0" xfId="0" applyFont="1" applyAlignment="1">
      <alignment vertical="center" wrapText="1"/>
    </xf>
    <xf numFmtId="0" fontId="14" fillId="0" borderId="0" xfId="0" applyFont="1" applyAlignment="1">
      <alignment horizontal="left" vertical="center" wrapText="1"/>
    </xf>
    <xf numFmtId="0" fontId="11" fillId="0" borderId="0" xfId="0" applyFont="1" applyAlignment="1">
      <alignment vertical="center" wrapText="1"/>
    </xf>
    <xf numFmtId="0" fontId="1" fillId="0" borderId="0" xfId="0" applyFont="1" applyAlignment="1">
      <alignment horizontal="center" vertical="center" wrapText="1"/>
    </xf>
    <xf numFmtId="0" fontId="0" fillId="0" borderId="0" xfId="0" applyFont="1" applyAlignment="1">
      <alignment horizontal="center" vertical="center" wrapText="1"/>
    </xf>
    <xf numFmtId="0" fontId="11" fillId="0" borderId="0" xfId="0" applyFont="1" applyAlignment="1">
      <alignment horizontal="center" vertical="center" wrapText="1"/>
    </xf>
    <xf numFmtId="3" fontId="0" fillId="0" borderId="0" xfId="0" applyNumberFormat="1" applyFont="1" applyAlignment="1">
      <alignment horizontal="center" vertical="center" wrapText="1"/>
    </xf>
    <xf numFmtId="3" fontId="3" fillId="0" borderId="0" xfId="0" applyNumberFormat="1" applyFont="1" applyAlignment="1">
      <alignment vertical="center" wrapText="1"/>
    </xf>
    <xf numFmtId="3" fontId="0" fillId="0" borderId="0" xfId="0" applyNumberFormat="1" applyAlignment="1">
      <alignment horizontal="center" vertical="center" wrapText="1"/>
    </xf>
    <xf numFmtId="3" fontId="1" fillId="0" borderId="0" xfId="0" applyNumberFormat="1" applyFont="1" applyAlignment="1">
      <alignment horizontal="left" vertical="center" wrapText="1"/>
    </xf>
    <xf numFmtId="0" fontId="8" fillId="6" borderId="0" xfId="0" applyFont="1" applyFill="1" applyAlignment="1">
      <alignment vertical="center" wrapText="1"/>
    </xf>
    <xf numFmtId="0" fontId="3" fillId="0" borderId="0" xfId="0" applyFont="1" applyAlignment="1">
      <alignment vertical="center" wrapText="1"/>
    </xf>
    <xf numFmtId="0" fontId="13" fillId="0" borderId="0" xfId="0" applyFont="1" applyAlignment="1">
      <alignment horizontal="center" vertical="center" wrapText="1"/>
    </xf>
    <xf numFmtId="0" fontId="16" fillId="0" borderId="0" xfId="0" applyFont="1" applyAlignment="1">
      <alignment vertical="center" wrapText="1"/>
    </xf>
    <xf numFmtId="3" fontId="12" fillId="0" borderId="0" xfId="0" applyNumberFormat="1" applyFont="1" applyAlignment="1">
      <alignment vertical="center" wrapText="1"/>
    </xf>
    <xf numFmtId="0" fontId="1" fillId="0" borderId="0" xfId="0" applyFont="1" applyAlignment="1">
      <alignment vertical="center" wrapText="1"/>
    </xf>
    <xf numFmtId="3" fontId="0" fillId="0" borderId="0" xfId="0" applyNumberFormat="1" applyAlignment="1">
      <alignment vertical="center" wrapText="1"/>
    </xf>
    <xf numFmtId="3" fontId="2" fillId="0" borderId="0" xfId="0" applyNumberFormat="1" applyFont="1" applyAlignment="1">
      <alignment vertical="center" wrapText="1"/>
    </xf>
    <xf numFmtId="0" fontId="8" fillId="0" borderId="0" xfId="0" applyFont="1" applyAlignment="1">
      <alignment vertical="center" wrapText="1"/>
    </xf>
    <xf numFmtId="0" fontId="17" fillId="0" borderId="0" xfId="0" applyFont="1" applyAlignment="1">
      <alignment vertical="center" wrapText="1"/>
    </xf>
    <xf numFmtId="0" fontId="0" fillId="6" borderId="0" xfId="0" applyFont="1" applyFill="1" applyAlignment="1">
      <alignment wrapText="1"/>
    </xf>
    <xf numFmtId="0" fontId="13" fillId="0" borderId="0" xfId="0" applyFont="1" applyAlignment="1">
      <alignment horizontal="center" wrapText="1"/>
    </xf>
    <xf numFmtId="3" fontId="1" fillId="0" borderId="0" xfId="0" applyNumberFormat="1" applyFont="1" applyAlignment="1">
      <alignment wrapText="1"/>
    </xf>
    <xf numFmtId="10" fontId="0" fillId="0" borderId="0" xfId="0" applyNumberFormat="1" applyFont="1" applyAlignment="1">
      <alignment horizontal="right"/>
    </xf>
    <xf numFmtId="164" fontId="12" fillId="0" borderId="0" xfId="0" applyNumberFormat="1" applyFont="1"/>
    <xf numFmtId="0" fontId="0" fillId="0" borderId="0" xfId="0" applyFill="1" applyAlignment="1">
      <alignment vertical="center" wrapText="1"/>
    </xf>
    <xf numFmtId="0" fontId="11" fillId="0" borderId="0" xfId="0" applyFont="1" applyFill="1" applyAlignment="1">
      <alignment wrapText="1"/>
    </xf>
    <xf numFmtId="0" fontId="11" fillId="0" borderId="0" xfId="0" applyFont="1" applyFill="1" applyAlignment="1">
      <alignment horizontal="left" wrapText="1"/>
    </xf>
    <xf numFmtId="0" fontId="14" fillId="0" borderId="0" xfId="0" applyFont="1" applyFill="1" applyAlignment="1">
      <alignment vertical="center" wrapText="1"/>
    </xf>
    <xf numFmtId="3" fontId="0" fillId="0" borderId="0" xfId="0" applyNumberFormat="1" applyFont="1" applyFill="1" applyAlignment="1">
      <alignment wrapText="1"/>
    </xf>
    <xf numFmtId="0" fontId="0" fillId="0" borderId="0" xfId="0" applyFont="1" applyFill="1" applyAlignment="1">
      <alignment wrapText="1"/>
    </xf>
    <xf numFmtId="0" fontId="0" fillId="0" borderId="0" xfId="0" applyFont="1" applyFill="1" applyAlignment="1">
      <alignment horizontal="left" wrapText="1"/>
    </xf>
    <xf numFmtId="0" fontId="0" fillId="0" borderId="0" xfId="0" applyAlignment="1">
      <alignment vertical="center"/>
    </xf>
    <xf numFmtId="0" fontId="0" fillId="0" borderId="0" xfId="0" applyAlignment="1">
      <alignment vertical="center"/>
    </xf>
    <xf numFmtId="0" fontId="0" fillId="0" borderId="0" xfId="0" applyAlignment="1">
      <alignment horizontal="left" vertical="center"/>
    </xf>
    <xf numFmtId="0" fontId="0" fillId="0" borderId="0" xfId="0" applyAlignment="1">
      <alignment vertical="center" wrapText="1"/>
    </xf>
    <xf numFmtId="0" fontId="19" fillId="0" borderId="0" xfId="1" applyAlignment="1">
      <alignment horizontal="left" vertical="center"/>
    </xf>
    <xf numFmtId="0" fontId="0" fillId="6" borderId="0" xfId="0" applyFill="1" applyAlignment="1">
      <alignment horizontal="left" vertical="center"/>
    </xf>
    <xf numFmtId="0" fontId="19" fillId="6" borderId="0" xfId="1" applyFill="1" applyAlignment="1">
      <alignment horizontal="left" vertical="center"/>
    </xf>
    <xf numFmtId="0" fontId="0" fillId="6" borderId="0" xfId="0" applyFill="1" applyAlignment="1">
      <alignment vertical="center"/>
    </xf>
    <xf numFmtId="0" fontId="0" fillId="6" borderId="0" xfId="0" applyFill="1" applyAlignment="1">
      <alignment vertical="center" wrapText="1"/>
    </xf>
    <xf numFmtId="0" fontId="0" fillId="0" borderId="0" xfId="0" applyAlignment="1">
      <alignment horizontal="left"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vertical="center"/>
    </xf>
    <xf numFmtId="0" fontId="0" fillId="0" borderId="0" xfId="0"/>
    <xf numFmtId="0" fontId="21" fillId="0" borderId="0" xfId="0" applyFont="1" applyAlignment="1">
      <alignment horizontal="left" vertical="center" wrapText="1"/>
    </xf>
    <xf numFmtId="0" fontId="21" fillId="0" borderId="0" xfId="0" applyFont="1" applyAlignment="1">
      <alignmen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hyperlink" Target="https://www.al.sp.gov.br/repositorioAH/Acervo/Alesp/Imperio/esp-034/CF63-002.pdf" TargetMode="External"/><Relationship Id="rId1" Type="http://schemas.openxmlformats.org/officeDocument/2006/relationships/hyperlink" Target="https://www.al.sp.gov.br/repositorioAH/Acervo/Alesp/Imperio/Falp_132/CF65_001.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
  <sheetViews>
    <sheetView tabSelected="1" workbookViewId="0">
      <selection sqref="A1:T1"/>
    </sheetView>
  </sheetViews>
  <sheetFormatPr defaultRowHeight="15" x14ac:dyDescent="0.25"/>
  <sheetData>
    <row r="1" spans="1:20" s="160" customFormat="1" ht="56.25" customHeight="1" x14ac:dyDescent="0.25">
      <c r="A1" s="173" t="s">
        <v>1379</v>
      </c>
      <c r="B1" s="173"/>
      <c r="C1" s="173"/>
      <c r="D1" s="173"/>
      <c r="E1" s="173"/>
      <c r="F1" s="173"/>
      <c r="G1" s="173"/>
      <c r="H1" s="173"/>
      <c r="I1" s="173"/>
      <c r="J1" s="173"/>
      <c r="K1" s="173"/>
      <c r="L1" s="173"/>
      <c r="M1" s="173"/>
      <c r="N1" s="173"/>
      <c r="O1" s="173"/>
      <c r="P1" s="173"/>
      <c r="Q1" s="173"/>
      <c r="R1" s="173"/>
      <c r="S1" s="173"/>
      <c r="T1" s="173"/>
    </row>
    <row r="2" spans="1:20" s="160" customFormat="1" ht="50.25" customHeight="1" x14ac:dyDescent="0.25">
      <c r="A2" s="174" t="s">
        <v>1377</v>
      </c>
      <c r="B2" s="174"/>
      <c r="C2" s="174"/>
      <c r="D2" s="174"/>
      <c r="E2" s="174"/>
      <c r="F2" s="174"/>
      <c r="G2" s="174"/>
      <c r="H2" s="174"/>
      <c r="I2" s="174"/>
      <c r="J2" s="174"/>
      <c r="K2" s="174"/>
      <c r="L2" s="174"/>
      <c r="M2" s="174"/>
      <c r="N2" s="174"/>
      <c r="O2" s="174"/>
      <c r="P2" s="174"/>
      <c r="Q2" s="174"/>
      <c r="R2" s="174"/>
      <c r="S2" s="174"/>
      <c r="T2" s="174"/>
    </row>
    <row r="3" spans="1:20" s="160" customFormat="1" ht="94.5" customHeight="1" x14ac:dyDescent="0.25">
      <c r="A3" s="174" t="s">
        <v>1378</v>
      </c>
      <c r="B3" s="174"/>
      <c r="C3" s="174"/>
      <c r="D3" s="174"/>
      <c r="E3" s="174"/>
      <c r="F3" s="174"/>
      <c r="G3" s="174"/>
      <c r="H3" s="174"/>
      <c r="I3" s="174"/>
      <c r="J3" s="174"/>
      <c r="K3" s="174"/>
      <c r="L3" s="174"/>
      <c r="M3" s="174"/>
      <c r="N3" s="174"/>
      <c r="O3" s="174"/>
      <c r="P3" s="174"/>
      <c r="Q3" s="174"/>
      <c r="R3" s="174"/>
      <c r="S3" s="174"/>
      <c r="T3" s="174"/>
    </row>
    <row r="4" spans="1:20" s="162" customFormat="1" ht="27.75" customHeight="1" x14ac:dyDescent="0.25">
      <c r="A4" s="174" t="s">
        <v>1380</v>
      </c>
      <c r="B4" s="174"/>
      <c r="C4" s="174"/>
      <c r="D4" s="174"/>
      <c r="E4" s="174"/>
      <c r="F4" s="174"/>
      <c r="G4" s="174"/>
      <c r="H4" s="174"/>
      <c r="I4" s="174"/>
      <c r="J4" s="174"/>
      <c r="K4" s="174"/>
      <c r="L4" s="174"/>
      <c r="M4" s="174"/>
      <c r="N4" s="174"/>
      <c r="O4" s="174"/>
      <c r="P4" s="174"/>
      <c r="Q4" s="174"/>
      <c r="R4" s="174"/>
      <c r="S4" s="174"/>
      <c r="T4" s="174"/>
    </row>
    <row r="5" spans="1:20" s="162" customFormat="1" ht="79.5" customHeight="1" x14ac:dyDescent="0.25">
      <c r="A5" s="174" t="s">
        <v>1376</v>
      </c>
      <c r="B5" s="174"/>
      <c r="C5" s="174"/>
      <c r="D5" s="174"/>
      <c r="E5" s="174"/>
      <c r="F5" s="174"/>
      <c r="G5" s="174"/>
      <c r="H5" s="174"/>
      <c r="I5" s="174"/>
      <c r="J5" s="174"/>
      <c r="K5" s="174"/>
      <c r="L5" s="174"/>
      <c r="M5" s="174"/>
      <c r="N5" s="174"/>
      <c r="O5" s="174"/>
      <c r="P5" s="174"/>
      <c r="Q5" s="174"/>
      <c r="R5" s="174"/>
      <c r="S5" s="174"/>
      <c r="T5" s="174"/>
    </row>
  </sheetData>
  <mergeCells count="5">
    <mergeCell ref="A1:T1"/>
    <mergeCell ref="A2:T2"/>
    <mergeCell ref="A3:T3"/>
    <mergeCell ref="A4:T4"/>
    <mergeCell ref="A5:T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
  <sheetViews>
    <sheetView workbookViewId="0">
      <selection activeCell="A15" sqref="A15:S15"/>
    </sheetView>
  </sheetViews>
  <sheetFormatPr defaultRowHeight="15" x14ac:dyDescent="0.25"/>
  <sheetData>
    <row r="1" spans="1:21" ht="48.75" customHeight="1" x14ac:dyDescent="0.25">
      <c r="A1" s="170" t="s">
        <v>1381</v>
      </c>
      <c r="B1" s="170"/>
      <c r="C1" s="170"/>
      <c r="D1" s="170"/>
      <c r="E1" s="170"/>
      <c r="F1" s="170"/>
      <c r="G1" s="170"/>
      <c r="H1" s="170"/>
      <c r="I1" s="170"/>
      <c r="J1" s="170"/>
      <c r="K1" s="170"/>
      <c r="L1" s="170"/>
      <c r="M1" s="170"/>
      <c r="N1" s="170"/>
      <c r="O1" s="170"/>
      <c r="P1" s="170"/>
      <c r="Q1" s="170"/>
    </row>
    <row r="2" spans="1:21" ht="40.5" customHeight="1" x14ac:dyDescent="0.25">
      <c r="A2" s="169" t="s">
        <v>1375</v>
      </c>
      <c r="B2" s="169"/>
      <c r="C2" s="169"/>
      <c r="D2" s="169"/>
      <c r="E2" s="169"/>
      <c r="F2" s="169"/>
      <c r="G2" s="169"/>
      <c r="H2" s="169"/>
      <c r="I2" s="169"/>
      <c r="J2" s="169"/>
      <c r="K2" s="169"/>
      <c r="L2" s="169"/>
      <c r="M2" s="169"/>
      <c r="N2" s="169"/>
      <c r="O2" s="169"/>
      <c r="P2" s="169"/>
      <c r="Q2" s="169"/>
      <c r="R2" s="169"/>
      <c r="S2" s="87"/>
      <c r="T2" s="87"/>
      <c r="U2" s="87"/>
    </row>
    <row r="3" spans="1:21" ht="23.25" customHeight="1" x14ac:dyDescent="0.25">
      <c r="A3" s="161" t="s">
        <v>1104</v>
      </c>
      <c r="B3" s="161"/>
      <c r="C3" s="161"/>
      <c r="D3" s="161"/>
      <c r="E3" s="161"/>
      <c r="F3" s="161"/>
      <c r="G3" s="163" t="s">
        <v>1103</v>
      </c>
      <c r="H3" s="161"/>
      <c r="I3" s="161"/>
      <c r="J3" s="159"/>
      <c r="K3" s="159"/>
      <c r="L3" s="159"/>
      <c r="M3" s="159"/>
      <c r="N3" s="159"/>
      <c r="O3" s="159"/>
      <c r="U3" s="87"/>
    </row>
    <row r="4" spans="1:21" s="159" customFormat="1" ht="26.25" customHeight="1" x14ac:dyDescent="0.25">
      <c r="A4" s="159" t="s">
        <v>1369</v>
      </c>
      <c r="G4" s="163" t="s">
        <v>1370</v>
      </c>
    </row>
    <row r="5" spans="1:21" ht="6.75" customHeight="1" x14ac:dyDescent="0.25">
      <c r="A5" s="164"/>
      <c r="B5" s="164"/>
      <c r="C5" s="164"/>
      <c r="D5" s="164"/>
      <c r="E5" s="164"/>
      <c r="F5" s="164"/>
      <c r="G5" s="165"/>
      <c r="H5" s="164"/>
      <c r="I5" s="164"/>
      <c r="J5" s="166"/>
      <c r="K5" s="166"/>
      <c r="L5" s="166"/>
      <c r="M5" s="166"/>
      <c r="N5" s="166"/>
      <c r="O5" s="166"/>
      <c r="P5" s="167"/>
      <c r="Q5" s="167"/>
      <c r="R5" s="167"/>
      <c r="S5" s="167"/>
      <c r="T5" s="167"/>
      <c r="U5" s="87"/>
    </row>
    <row r="6" spans="1:21" ht="19.5" customHeight="1" x14ac:dyDescent="0.25">
      <c r="A6" s="161" t="s">
        <v>1101</v>
      </c>
      <c r="B6" s="161"/>
      <c r="C6" s="161"/>
      <c r="D6" s="161"/>
      <c r="E6" s="161"/>
      <c r="F6" s="161"/>
      <c r="G6" s="161"/>
      <c r="H6" s="161"/>
      <c r="I6" s="161"/>
      <c r="J6" s="161"/>
      <c r="K6" s="159"/>
      <c r="L6" s="159"/>
      <c r="M6" s="159"/>
      <c r="N6" s="159"/>
      <c r="O6" s="159"/>
    </row>
    <row r="7" spans="1:21" ht="19.5" customHeight="1" x14ac:dyDescent="0.25">
      <c r="A7" s="171" t="s">
        <v>1094</v>
      </c>
      <c r="B7" s="171"/>
      <c r="C7" s="171"/>
      <c r="D7" s="171"/>
      <c r="E7" s="171"/>
      <c r="F7" s="171"/>
      <c r="G7" s="161"/>
      <c r="H7" s="161"/>
      <c r="I7" s="161"/>
      <c r="J7" s="161"/>
      <c r="K7" s="159"/>
      <c r="L7" s="159"/>
      <c r="M7" s="159"/>
      <c r="N7" s="159"/>
      <c r="O7" s="159"/>
      <c r="P7" s="159"/>
      <c r="Q7" s="159"/>
      <c r="R7" s="159"/>
      <c r="S7" s="159"/>
      <c r="T7" s="159"/>
      <c r="U7" s="159"/>
    </row>
    <row r="8" spans="1:21" ht="19.5" customHeight="1" x14ac:dyDescent="0.25">
      <c r="A8" s="171" t="s">
        <v>1105</v>
      </c>
      <c r="B8" s="171"/>
      <c r="C8" s="171"/>
      <c r="D8" s="171"/>
      <c r="E8" s="171"/>
      <c r="F8" s="171"/>
      <c r="G8" s="171"/>
      <c r="H8" s="171"/>
      <c r="I8" s="171"/>
      <c r="J8" s="171"/>
      <c r="K8" s="171"/>
      <c r="L8" s="171"/>
      <c r="M8" s="171"/>
      <c r="N8" s="171"/>
      <c r="O8" s="171"/>
      <c r="P8" s="171"/>
      <c r="Q8" s="159"/>
    </row>
    <row r="9" spans="1:21" x14ac:dyDescent="0.25">
      <c r="A9" s="172" t="s">
        <v>1382</v>
      </c>
      <c r="B9" s="172"/>
      <c r="C9" t="s">
        <v>1095</v>
      </c>
    </row>
    <row r="10" spans="1:21" x14ac:dyDescent="0.25">
      <c r="A10" s="172" t="s">
        <v>1383</v>
      </c>
      <c r="B10" s="172"/>
      <c r="C10" t="s">
        <v>1100</v>
      </c>
      <c r="H10" t="s">
        <v>1386</v>
      </c>
    </row>
    <row r="11" spans="1:21" x14ac:dyDescent="0.25">
      <c r="A11" s="172" t="s">
        <v>1384</v>
      </c>
      <c r="B11" s="172"/>
      <c r="C11" t="s">
        <v>1096</v>
      </c>
      <c r="D11" s="1" t="s">
        <v>1097</v>
      </c>
      <c r="E11" t="s">
        <v>1099</v>
      </c>
      <c r="H11" s="172" t="s">
        <v>1387</v>
      </c>
      <c r="I11" s="172"/>
      <c r="J11" s="172"/>
      <c r="K11" s="172"/>
      <c r="L11" s="172"/>
      <c r="M11" s="172"/>
      <c r="N11" s="172"/>
      <c r="O11" s="172"/>
      <c r="P11" s="172"/>
      <c r="Q11" s="172"/>
      <c r="R11" s="172"/>
      <c r="S11" s="172"/>
      <c r="T11" s="172"/>
    </row>
    <row r="12" spans="1:21" x14ac:dyDescent="0.25">
      <c r="A12" s="172" t="s">
        <v>1385</v>
      </c>
      <c r="B12" s="172"/>
      <c r="C12" t="s">
        <v>1098</v>
      </c>
      <c r="H12" t="s">
        <v>1388</v>
      </c>
    </row>
    <row r="13" spans="1:21" ht="9" customHeight="1" x14ac:dyDescent="0.25"/>
    <row r="14" spans="1:21" s="161" customFormat="1" ht="18.75" customHeight="1" x14ac:dyDescent="0.25">
      <c r="A14" s="168" t="s">
        <v>1368</v>
      </c>
      <c r="B14" s="168"/>
      <c r="C14" s="168"/>
      <c r="D14" s="168"/>
      <c r="E14" s="168"/>
      <c r="F14" s="168"/>
      <c r="G14" s="168"/>
      <c r="H14" s="168"/>
      <c r="I14" s="168"/>
      <c r="J14" s="168"/>
      <c r="K14" s="168"/>
      <c r="L14" s="168"/>
      <c r="M14" s="168"/>
      <c r="N14" s="168"/>
      <c r="O14" s="168"/>
      <c r="P14" s="168"/>
      <c r="Q14" s="168"/>
      <c r="R14" s="168"/>
      <c r="S14" s="168"/>
      <c r="T14" s="168"/>
      <c r="U14" s="168"/>
    </row>
    <row r="15" spans="1:21" s="159" customFormat="1" ht="27" customHeight="1" x14ac:dyDescent="0.25">
      <c r="A15" s="169" t="s">
        <v>1102</v>
      </c>
      <c r="B15" s="169"/>
      <c r="C15" s="169"/>
      <c r="D15" s="169"/>
      <c r="E15" s="169"/>
      <c r="F15" s="169"/>
      <c r="G15" s="169"/>
      <c r="H15" s="169"/>
      <c r="I15" s="169"/>
      <c r="J15" s="169"/>
      <c r="K15" s="169"/>
      <c r="L15" s="169"/>
      <c r="M15" s="169"/>
      <c r="N15" s="169"/>
      <c r="O15" s="169"/>
      <c r="P15" s="169"/>
      <c r="Q15" s="169"/>
      <c r="R15" s="169"/>
      <c r="S15" s="169"/>
      <c r="T15" s="87"/>
      <c r="U15" s="87"/>
    </row>
  </sheetData>
  <mergeCells count="11">
    <mergeCell ref="H11:T11"/>
    <mergeCell ref="A14:U14"/>
    <mergeCell ref="A15:S15"/>
    <mergeCell ref="A1:Q1"/>
    <mergeCell ref="A7:F7"/>
    <mergeCell ref="A11:B11"/>
    <mergeCell ref="A8:P8"/>
    <mergeCell ref="A2:R2"/>
    <mergeCell ref="A9:B9"/>
    <mergeCell ref="A10:B10"/>
    <mergeCell ref="A12:B12"/>
  </mergeCells>
  <hyperlinks>
    <hyperlink ref="G3" r:id="rId1"/>
    <hyperlink ref="G4" r:id="rId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D178"/>
  <sheetViews>
    <sheetView showZeros="0" workbookViewId="0">
      <pane xSplit="1" ySplit="7" topLeftCell="B8" activePane="bottomRight" state="frozen"/>
      <selection pane="topRight" activeCell="B1" sqref="B1"/>
      <selection pane="bottomLeft" activeCell="A8" sqref="A8"/>
      <selection pane="bottomRight" activeCell="A17" sqref="A17"/>
    </sheetView>
  </sheetViews>
  <sheetFormatPr defaultRowHeight="15" x14ac:dyDescent="0.25"/>
  <cols>
    <col min="1" max="1" width="70.7109375" style="83" customWidth="1"/>
    <col min="2" max="4" width="20.7109375" style="14" customWidth="1"/>
    <col min="5" max="5" width="10.7109375" style="14" customWidth="1"/>
    <col min="6" max="10" width="20.7109375" style="14" customWidth="1"/>
    <col min="11" max="11" width="8.7109375" style="14" customWidth="1"/>
    <col min="12" max="20" width="20.7109375" style="14" customWidth="1"/>
    <col min="21" max="21" width="8.7109375" style="14" customWidth="1"/>
    <col min="22" max="34" width="20.7109375" style="14" customWidth="1"/>
    <col min="35" max="16384" width="9.140625" style="14"/>
  </cols>
  <sheetData>
    <row r="1" spans="1:34" x14ac:dyDescent="0.25">
      <c r="A1" s="78" t="s">
        <v>87</v>
      </c>
    </row>
    <row r="2" spans="1:34" x14ac:dyDescent="0.25">
      <c r="A2" s="79" t="s">
        <v>255</v>
      </c>
      <c r="B2" s="22" t="s">
        <v>180</v>
      </c>
      <c r="C2" s="22" t="s">
        <v>181</v>
      </c>
      <c r="D2" s="22" t="s">
        <v>182</v>
      </c>
      <c r="E2" s="23"/>
      <c r="F2" s="23" t="s">
        <v>183</v>
      </c>
      <c r="G2" s="23" t="s">
        <v>3</v>
      </c>
      <c r="H2" s="22" t="s">
        <v>184</v>
      </c>
      <c r="I2" s="22" t="s">
        <v>185</v>
      </c>
      <c r="J2" s="22" t="s">
        <v>186</v>
      </c>
      <c r="K2" s="23"/>
      <c r="L2" s="22" t="s">
        <v>187</v>
      </c>
      <c r="M2" s="22" t="s">
        <v>188</v>
      </c>
      <c r="N2" s="22" t="s">
        <v>188</v>
      </c>
      <c r="O2" s="22" t="s">
        <v>189</v>
      </c>
      <c r="P2" s="22" t="s">
        <v>190</v>
      </c>
      <c r="Q2" s="22" t="s">
        <v>191</v>
      </c>
      <c r="R2" s="22" t="s">
        <v>192</v>
      </c>
      <c r="S2" s="22" t="s">
        <v>193</v>
      </c>
      <c r="T2" s="22" t="s">
        <v>194</v>
      </c>
      <c r="U2" s="31"/>
      <c r="V2" s="23" t="s">
        <v>195</v>
      </c>
      <c r="W2" s="22" t="s">
        <v>196</v>
      </c>
      <c r="X2" s="22" t="s">
        <v>197</v>
      </c>
      <c r="Y2" s="22" t="s">
        <v>198</v>
      </c>
      <c r="Z2" s="22" t="s">
        <v>199</v>
      </c>
      <c r="AA2" s="22" t="s">
        <v>200</v>
      </c>
      <c r="AB2" s="22" t="s">
        <v>201</v>
      </c>
      <c r="AC2" s="22" t="s">
        <v>201</v>
      </c>
      <c r="AD2" s="22" t="s">
        <v>201</v>
      </c>
      <c r="AE2" s="22" t="s">
        <v>202</v>
      </c>
      <c r="AF2" s="14" t="s">
        <v>257</v>
      </c>
    </row>
    <row r="3" spans="1:34" x14ac:dyDescent="0.25">
      <c r="A3" s="79" t="s">
        <v>256</v>
      </c>
      <c r="B3" s="22" t="s">
        <v>1178</v>
      </c>
      <c r="C3" s="22" t="s">
        <v>1179</v>
      </c>
      <c r="D3" s="22" t="s">
        <v>1180</v>
      </c>
      <c r="E3" s="23"/>
      <c r="F3" s="23" t="s">
        <v>1181</v>
      </c>
      <c r="G3" s="23" t="s">
        <v>1182</v>
      </c>
      <c r="H3" s="22" t="s">
        <v>1183</v>
      </c>
      <c r="I3" s="22" t="s">
        <v>1184</v>
      </c>
      <c r="J3" s="22" t="s">
        <v>1185</v>
      </c>
      <c r="K3" s="23"/>
      <c r="L3" s="22" t="s">
        <v>1186</v>
      </c>
      <c r="M3" s="22" t="s">
        <v>1187</v>
      </c>
      <c r="N3" s="22" t="s">
        <v>1188</v>
      </c>
      <c r="O3" s="22" t="s">
        <v>1189</v>
      </c>
      <c r="P3" s="22" t="s">
        <v>1190</v>
      </c>
      <c r="Q3" s="22" t="s">
        <v>1191</v>
      </c>
      <c r="R3" s="22" t="s">
        <v>1192</v>
      </c>
      <c r="S3" s="22" t="s">
        <v>1193</v>
      </c>
      <c r="T3" s="22" t="s">
        <v>1194</v>
      </c>
      <c r="U3" s="31"/>
      <c r="V3" s="23" t="s">
        <v>1195</v>
      </c>
      <c r="W3" s="22" t="s">
        <v>1196</v>
      </c>
      <c r="X3" s="22" t="s">
        <v>1197</v>
      </c>
      <c r="Y3" s="22" t="s">
        <v>1198</v>
      </c>
      <c r="Z3" s="22" t="s">
        <v>1199</v>
      </c>
      <c r="AA3" s="22" t="s">
        <v>1200</v>
      </c>
      <c r="AB3" s="22" t="s">
        <v>1201</v>
      </c>
      <c r="AC3" s="22" t="s">
        <v>1201</v>
      </c>
      <c r="AD3" s="22" t="s">
        <v>1201</v>
      </c>
      <c r="AE3" s="22" t="s">
        <v>1202</v>
      </c>
      <c r="AF3" s="23"/>
      <c r="AG3" s="23"/>
      <c r="AH3" s="23"/>
    </row>
    <row r="4" spans="1:34" x14ac:dyDescent="0.25">
      <c r="A4" s="80" t="s">
        <v>85</v>
      </c>
      <c r="B4" s="25">
        <v>1858</v>
      </c>
      <c r="C4" s="25">
        <v>1859</v>
      </c>
      <c r="D4" s="25">
        <v>1860</v>
      </c>
      <c r="E4" s="25">
        <v>1861</v>
      </c>
      <c r="F4" s="25">
        <v>1862</v>
      </c>
      <c r="G4" s="25" t="s">
        <v>203</v>
      </c>
      <c r="H4" s="24" t="s">
        <v>204</v>
      </c>
      <c r="I4" s="24" t="s">
        <v>205</v>
      </c>
      <c r="J4" s="24" t="s">
        <v>206</v>
      </c>
      <c r="K4" s="24" t="s">
        <v>207</v>
      </c>
      <c r="L4" s="24" t="s">
        <v>208</v>
      </c>
      <c r="M4" s="24" t="s">
        <v>209</v>
      </c>
      <c r="N4" s="24" t="s">
        <v>210</v>
      </c>
      <c r="O4" s="24" t="s">
        <v>211</v>
      </c>
      <c r="P4" s="24" t="s">
        <v>212</v>
      </c>
      <c r="Q4" s="24" t="s">
        <v>22</v>
      </c>
      <c r="R4" s="24" t="s">
        <v>213</v>
      </c>
      <c r="S4" s="24" t="s">
        <v>214</v>
      </c>
      <c r="T4" s="24" t="s">
        <v>215</v>
      </c>
      <c r="U4" s="24" t="s">
        <v>216</v>
      </c>
      <c r="V4" s="25" t="s">
        <v>23</v>
      </c>
      <c r="W4" s="24" t="s">
        <v>24</v>
      </c>
      <c r="X4" s="24" t="s">
        <v>25</v>
      </c>
      <c r="Y4" s="24" t="s">
        <v>26</v>
      </c>
      <c r="Z4" s="24" t="s">
        <v>27</v>
      </c>
      <c r="AA4" s="24" t="s">
        <v>28</v>
      </c>
      <c r="AB4" s="24" t="s">
        <v>29</v>
      </c>
      <c r="AC4" s="24" t="s">
        <v>30</v>
      </c>
      <c r="AD4" s="26" t="s">
        <v>31</v>
      </c>
      <c r="AE4" s="24" t="s">
        <v>32</v>
      </c>
      <c r="AF4" s="25" t="s">
        <v>33</v>
      </c>
      <c r="AG4" s="25" t="s">
        <v>217</v>
      </c>
      <c r="AH4" s="24" t="s">
        <v>218</v>
      </c>
    </row>
    <row r="5" spans="1:34" x14ac:dyDescent="0.25">
      <c r="A5" s="81" t="s">
        <v>86</v>
      </c>
      <c r="B5" s="22" t="s">
        <v>219</v>
      </c>
      <c r="C5" s="22" t="s">
        <v>220</v>
      </c>
      <c r="D5" s="22" t="s">
        <v>221</v>
      </c>
      <c r="E5" s="23"/>
      <c r="F5" s="23" t="s">
        <v>222</v>
      </c>
      <c r="G5" s="23" t="s">
        <v>223</v>
      </c>
      <c r="H5" s="22" t="s">
        <v>224</v>
      </c>
      <c r="I5" s="22" t="s">
        <v>225</v>
      </c>
      <c r="J5" s="22" t="s">
        <v>226</v>
      </c>
      <c r="K5" s="23"/>
      <c r="L5" s="22" t="s">
        <v>227</v>
      </c>
      <c r="M5" s="22" t="s">
        <v>228</v>
      </c>
      <c r="N5" s="22" t="s">
        <v>229</v>
      </c>
      <c r="O5" s="22" t="s">
        <v>230</v>
      </c>
      <c r="P5" s="22" t="s">
        <v>231</v>
      </c>
      <c r="Q5" s="22" t="s">
        <v>232</v>
      </c>
      <c r="R5" s="22" t="s">
        <v>233</v>
      </c>
      <c r="S5" s="22" t="s">
        <v>234</v>
      </c>
      <c r="T5" s="22" t="s">
        <v>235</v>
      </c>
      <c r="U5" s="31"/>
      <c r="V5" s="23" t="s">
        <v>236</v>
      </c>
      <c r="W5" s="22" t="s">
        <v>237</v>
      </c>
      <c r="X5" s="22" t="s">
        <v>238</v>
      </c>
      <c r="Y5" s="22" t="s">
        <v>239</v>
      </c>
      <c r="Z5" s="22" t="s">
        <v>240</v>
      </c>
      <c r="AA5" s="22" t="s">
        <v>241</v>
      </c>
      <c r="AB5" s="22" t="s">
        <v>242</v>
      </c>
      <c r="AC5" s="22" t="s">
        <v>243</v>
      </c>
      <c r="AD5" s="22" t="s">
        <v>244</v>
      </c>
      <c r="AE5" s="22" t="s">
        <v>245</v>
      </c>
      <c r="AF5" s="23" t="s">
        <v>246</v>
      </c>
      <c r="AG5" s="22" t="s">
        <v>247</v>
      </c>
      <c r="AH5" s="22" t="s">
        <v>248</v>
      </c>
    </row>
    <row r="6" spans="1:34" x14ac:dyDescent="0.25">
      <c r="A6" s="79" t="s">
        <v>84</v>
      </c>
      <c r="B6" s="11" t="s">
        <v>71</v>
      </c>
      <c r="C6" s="11" t="s">
        <v>71</v>
      </c>
      <c r="D6" s="11" t="s">
        <v>71</v>
      </c>
      <c r="E6" s="2"/>
      <c r="F6" s="11" t="s">
        <v>71</v>
      </c>
      <c r="G6" s="11" t="s">
        <v>71</v>
      </c>
      <c r="H6" s="2" t="s">
        <v>70</v>
      </c>
      <c r="I6" s="2" t="s">
        <v>70</v>
      </c>
      <c r="J6" s="2" t="s">
        <v>70</v>
      </c>
      <c r="K6" s="2"/>
      <c r="L6" s="2" t="s">
        <v>70</v>
      </c>
      <c r="M6" s="2" t="s">
        <v>70</v>
      </c>
      <c r="N6" s="2" t="s">
        <v>70</v>
      </c>
      <c r="O6" s="2" t="s">
        <v>70</v>
      </c>
      <c r="P6" s="2" t="s">
        <v>70</v>
      </c>
      <c r="Q6" s="2" t="s">
        <v>70</v>
      </c>
      <c r="R6" s="2" t="s">
        <v>70</v>
      </c>
      <c r="S6" s="2" t="s">
        <v>70</v>
      </c>
      <c r="T6" s="2" t="s">
        <v>70</v>
      </c>
      <c r="U6" s="2"/>
      <c r="V6" s="2" t="s">
        <v>70</v>
      </c>
      <c r="W6" s="2" t="s">
        <v>70</v>
      </c>
      <c r="X6" s="2" t="s">
        <v>70</v>
      </c>
      <c r="Y6" s="2" t="s">
        <v>70</v>
      </c>
      <c r="Z6" s="2" t="s">
        <v>70</v>
      </c>
      <c r="AA6" s="2" t="s">
        <v>70</v>
      </c>
      <c r="AB6" s="2" t="s">
        <v>70</v>
      </c>
      <c r="AC6" s="2" t="s">
        <v>70</v>
      </c>
      <c r="AD6" s="12" t="s">
        <v>71</v>
      </c>
      <c r="AE6" s="2" t="s">
        <v>70</v>
      </c>
      <c r="AF6" s="1" t="s">
        <v>70</v>
      </c>
      <c r="AG6" s="1" t="s">
        <v>70</v>
      </c>
      <c r="AH6" s="1" t="s">
        <v>70</v>
      </c>
    </row>
    <row r="7" spans="1:34" x14ac:dyDescent="0.25">
      <c r="A7" s="80"/>
      <c r="B7" s="23"/>
      <c r="C7" s="23"/>
      <c r="D7" s="23"/>
      <c r="E7" s="23"/>
      <c r="F7" s="23"/>
      <c r="G7" s="23"/>
      <c r="H7" s="23"/>
      <c r="I7" s="23"/>
      <c r="J7" s="23"/>
      <c r="K7" s="23"/>
      <c r="L7" s="23"/>
      <c r="M7" s="23"/>
      <c r="N7" s="23"/>
      <c r="O7" s="23"/>
      <c r="P7" s="23"/>
      <c r="Q7" s="23"/>
      <c r="R7" s="23"/>
      <c r="S7" s="23"/>
      <c r="T7" s="23"/>
      <c r="U7" s="31"/>
      <c r="V7" s="23"/>
      <c r="W7" s="23"/>
      <c r="X7" s="23"/>
      <c r="Y7" s="23"/>
      <c r="Z7" s="23"/>
      <c r="AA7" s="23"/>
      <c r="AB7" s="22"/>
      <c r="AC7" s="22"/>
      <c r="AD7" s="22"/>
      <c r="AE7" s="23"/>
      <c r="AF7" s="23"/>
      <c r="AG7" s="23"/>
      <c r="AH7" s="23"/>
    </row>
    <row r="8" spans="1:34" x14ac:dyDescent="0.25">
      <c r="A8" s="82" t="s">
        <v>138</v>
      </c>
      <c r="B8" s="18"/>
      <c r="C8" s="18">
        <v>49654</v>
      </c>
      <c r="D8" s="18">
        <v>351360</v>
      </c>
      <c r="E8" s="18"/>
      <c r="F8" s="18">
        <v>1265253</v>
      </c>
      <c r="G8" s="18">
        <v>119942</v>
      </c>
      <c r="H8" s="18">
        <v>28836</v>
      </c>
      <c r="I8" s="13">
        <v>24069</v>
      </c>
      <c r="J8" s="13">
        <v>1064174</v>
      </c>
      <c r="K8" s="13"/>
      <c r="L8" s="13">
        <v>2558298</v>
      </c>
      <c r="M8" s="13">
        <v>2217442</v>
      </c>
      <c r="N8" s="13">
        <v>3818210</v>
      </c>
      <c r="O8" s="13">
        <v>3818210</v>
      </c>
      <c r="P8" s="13"/>
      <c r="Q8" s="13"/>
      <c r="R8" s="13">
        <v>33700</v>
      </c>
      <c r="S8" s="13">
        <v>492163</v>
      </c>
      <c r="T8" s="18">
        <v>489438</v>
      </c>
      <c r="U8" s="32"/>
      <c r="V8" s="13"/>
      <c r="W8" s="13">
        <v>1995230</v>
      </c>
      <c r="X8" s="13"/>
      <c r="Y8" s="13"/>
      <c r="Z8" s="18"/>
      <c r="AA8" s="13"/>
      <c r="AB8" s="13"/>
      <c r="AC8" s="13">
        <v>4945925</v>
      </c>
      <c r="AD8" s="13"/>
      <c r="AE8" s="13"/>
      <c r="AF8" s="13"/>
      <c r="AG8" s="13"/>
      <c r="AH8" s="13"/>
    </row>
    <row r="9" spans="1:34" x14ac:dyDescent="0.25">
      <c r="A9" s="80" t="s">
        <v>674</v>
      </c>
      <c r="B9" s="18"/>
      <c r="C9" s="18"/>
      <c r="D9" s="18"/>
      <c r="E9" s="18"/>
      <c r="F9" s="18"/>
      <c r="G9" s="18"/>
      <c r="H9" s="18"/>
      <c r="I9" s="22"/>
      <c r="J9" s="22"/>
      <c r="K9" s="22"/>
      <c r="L9" s="22"/>
      <c r="M9" s="22"/>
      <c r="N9" s="22"/>
      <c r="O9" s="22"/>
      <c r="P9" s="22"/>
      <c r="Q9" s="22"/>
      <c r="R9" s="22"/>
      <c r="S9" s="22"/>
      <c r="T9" s="18"/>
      <c r="U9" s="31"/>
      <c r="V9" s="23"/>
      <c r="W9" s="23"/>
      <c r="X9" s="23"/>
      <c r="Y9" s="23"/>
      <c r="Z9" s="23"/>
      <c r="AA9" s="13"/>
      <c r="AB9" s="13"/>
      <c r="AC9" s="13"/>
      <c r="AD9" s="22"/>
      <c r="AE9" s="13"/>
      <c r="AF9" s="13"/>
      <c r="AG9" s="13"/>
      <c r="AH9" s="13"/>
    </row>
    <row r="10" spans="1:34" x14ac:dyDescent="0.25">
      <c r="A10" s="35" t="s">
        <v>902</v>
      </c>
      <c r="B10" s="18"/>
      <c r="C10" s="18"/>
      <c r="D10" s="18"/>
      <c r="E10" s="18"/>
      <c r="F10" s="18"/>
      <c r="G10" s="18"/>
      <c r="H10" s="18"/>
      <c r="I10" s="18"/>
      <c r="J10" s="18">
        <v>60000</v>
      </c>
      <c r="K10" s="18"/>
      <c r="L10" s="18">
        <v>490000</v>
      </c>
      <c r="M10" s="18">
        <f>360000+180000</f>
        <v>540000</v>
      </c>
      <c r="N10" s="18">
        <v>360000</v>
      </c>
      <c r="O10" s="18">
        <v>80000</v>
      </c>
      <c r="P10" s="18">
        <v>190000</v>
      </c>
      <c r="Q10" s="18">
        <v>420000</v>
      </c>
      <c r="R10" s="18">
        <v>920000</v>
      </c>
      <c r="S10" s="18">
        <v>410000</v>
      </c>
      <c r="T10" s="18"/>
      <c r="U10" s="33"/>
      <c r="V10" s="18"/>
      <c r="W10" s="18"/>
      <c r="X10" s="18"/>
      <c r="Y10" s="18"/>
      <c r="Z10" s="18"/>
      <c r="AA10" s="18"/>
      <c r="AB10" s="18"/>
      <c r="AC10" s="18"/>
      <c r="AD10" s="18"/>
      <c r="AE10" s="18"/>
      <c r="AF10" s="18"/>
      <c r="AG10" s="18"/>
      <c r="AH10" s="18"/>
    </row>
    <row r="11" spans="1:34" x14ac:dyDescent="0.25">
      <c r="A11" s="83" t="s">
        <v>140</v>
      </c>
      <c r="B11" s="18">
        <v>73500</v>
      </c>
      <c r="C11" s="18">
        <v>80000</v>
      </c>
      <c r="D11" s="18">
        <v>80000</v>
      </c>
      <c r="E11" s="18"/>
      <c r="F11" s="18">
        <v>80000</v>
      </c>
      <c r="G11" s="18">
        <v>80000</v>
      </c>
      <c r="H11" s="18">
        <v>5040</v>
      </c>
      <c r="I11" s="18">
        <v>66400</v>
      </c>
      <c r="J11" s="18">
        <v>100500</v>
      </c>
      <c r="K11" s="18"/>
      <c r="L11" s="18">
        <v>86224</v>
      </c>
      <c r="M11" s="18">
        <v>180000</v>
      </c>
      <c r="N11" s="18">
        <v>180000</v>
      </c>
      <c r="O11" s="18">
        <v>135000</v>
      </c>
      <c r="P11" s="18">
        <v>140000</v>
      </c>
      <c r="Q11" s="18">
        <v>188600</v>
      </c>
      <c r="R11" s="18">
        <v>30000</v>
      </c>
      <c r="S11" s="18">
        <v>130000</v>
      </c>
      <c r="T11" s="18">
        <v>58700</v>
      </c>
      <c r="U11" s="33"/>
      <c r="V11" s="18">
        <v>301700</v>
      </c>
      <c r="W11" s="18">
        <v>350000</v>
      </c>
      <c r="X11" s="18">
        <v>451900</v>
      </c>
      <c r="Y11" s="18">
        <v>472000</v>
      </c>
      <c r="Z11" s="18">
        <v>414000</v>
      </c>
      <c r="AA11" s="18">
        <v>437000</v>
      </c>
      <c r="AB11" s="18">
        <v>417000</v>
      </c>
      <c r="AC11" s="18">
        <v>408000</v>
      </c>
      <c r="AD11" s="18">
        <v>450000</v>
      </c>
      <c r="AE11" s="18">
        <v>666540</v>
      </c>
      <c r="AF11" s="18">
        <v>649500</v>
      </c>
      <c r="AG11" s="18">
        <v>732500</v>
      </c>
      <c r="AH11" s="18">
        <v>753000</v>
      </c>
    </row>
    <row r="12" spans="1:34" x14ac:dyDescent="0.25">
      <c r="A12" s="83" t="s">
        <v>112</v>
      </c>
      <c r="B12" s="18">
        <v>64000</v>
      </c>
      <c r="C12" s="18">
        <v>50000</v>
      </c>
      <c r="D12" s="18"/>
      <c r="E12" s="18"/>
      <c r="F12" s="18">
        <v>46720</v>
      </c>
      <c r="G12" s="18">
        <v>50000</v>
      </c>
      <c r="H12" s="18"/>
      <c r="I12" s="13"/>
      <c r="J12" s="13">
        <v>85920</v>
      </c>
      <c r="K12" s="13"/>
      <c r="L12" s="13">
        <v>166160</v>
      </c>
      <c r="M12" s="13">
        <v>118000</v>
      </c>
      <c r="N12" s="13">
        <v>137300</v>
      </c>
      <c r="O12" s="13">
        <v>167560</v>
      </c>
      <c r="P12" s="13">
        <v>100320</v>
      </c>
      <c r="Q12" s="13">
        <v>185760</v>
      </c>
      <c r="R12" s="13">
        <v>528720</v>
      </c>
      <c r="S12" s="13"/>
      <c r="T12" s="18"/>
      <c r="U12" s="32"/>
      <c r="V12" s="18"/>
      <c r="W12" s="18"/>
      <c r="X12" s="18"/>
      <c r="Y12" s="18"/>
      <c r="Z12" s="18"/>
      <c r="AA12" s="13"/>
      <c r="AB12" s="13"/>
      <c r="AC12" s="13"/>
      <c r="AD12" s="13"/>
      <c r="AE12" s="13"/>
      <c r="AF12" s="13"/>
      <c r="AG12" s="13"/>
      <c r="AH12" s="13"/>
    </row>
    <row r="13" spans="1:34" x14ac:dyDescent="0.25">
      <c r="A13" s="34" t="s">
        <v>957</v>
      </c>
      <c r="B13" s="18"/>
      <c r="C13" s="18">
        <v>120000</v>
      </c>
      <c r="D13" s="18">
        <v>140000</v>
      </c>
      <c r="E13" s="18"/>
      <c r="F13" s="18">
        <v>300000</v>
      </c>
      <c r="G13" s="18">
        <v>300000</v>
      </c>
      <c r="H13" s="18"/>
      <c r="I13" s="13">
        <v>672240</v>
      </c>
      <c r="J13" s="13">
        <v>454000</v>
      </c>
      <c r="K13" s="13"/>
      <c r="L13" s="13">
        <v>488000</v>
      </c>
      <c r="M13" s="13">
        <v>544000</v>
      </c>
      <c r="N13" s="13">
        <v>560000</v>
      </c>
      <c r="O13" s="13">
        <v>492000</v>
      </c>
      <c r="P13" s="13">
        <v>500000</v>
      </c>
      <c r="Q13" s="13">
        <v>574000</v>
      </c>
      <c r="R13" s="13">
        <v>633400</v>
      </c>
      <c r="S13" s="13">
        <v>914000</v>
      </c>
      <c r="T13" s="18">
        <v>718000</v>
      </c>
      <c r="U13" s="32"/>
      <c r="V13" s="18">
        <v>836000</v>
      </c>
      <c r="W13" s="18">
        <v>836000</v>
      </c>
      <c r="X13" s="18">
        <v>744000</v>
      </c>
      <c r="Y13" s="18">
        <v>902000</v>
      </c>
      <c r="Z13" s="18">
        <v>890000</v>
      </c>
      <c r="AA13" s="13">
        <v>766000</v>
      </c>
      <c r="AB13" s="13">
        <v>732000</v>
      </c>
      <c r="AC13" s="13">
        <v>734000</v>
      </c>
      <c r="AD13" s="13">
        <v>800000</v>
      </c>
      <c r="AE13" s="13">
        <v>838000</v>
      </c>
      <c r="AF13" s="13">
        <v>1000000</v>
      </c>
      <c r="AG13" s="13">
        <v>1176000</v>
      </c>
      <c r="AH13" s="13">
        <v>1720000</v>
      </c>
    </row>
    <row r="14" spans="1:34" ht="30" x14ac:dyDescent="0.25">
      <c r="A14" s="34" t="s">
        <v>958</v>
      </c>
      <c r="B14" s="18"/>
      <c r="C14" s="18"/>
      <c r="D14" s="18"/>
      <c r="E14" s="18"/>
      <c r="F14" s="18"/>
      <c r="G14" s="18"/>
      <c r="H14" s="18"/>
      <c r="I14" s="13"/>
      <c r="J14" s="13"/>
      <c r="K14" s="13"/>
      <c r="L14" s="13"/>
      <c r="M14" s="13"/>
      <c r="N14" s="13"/>
      <c r="O14" s="13"/>
      <c r="P14" s="13"/>
      <c r="Q14" s="13"/>
      <c r="R14" s="13"/>
      <c r="S14" s="13">
        <v>193000</v>
      </c>
      <c r="T14" s="18">
        <v>65000</v>
      </c>
      <c r="U14" s="32"/>
      <c r="V14" s="18">
        <v>50000</v>
      </c>
      <c r="W14" s="18">
        <v>60000</v>
      </c>
      <c r="X14" s="18">
        <v>22000</v>
      </c>
      <c r="Y14" s="18">
        <v>9000</v>
      </c>
      <c r="Z14" s="18">
        <v>26500</v>
      </c>
      <c r="AA14" s="13">
        <v>7000</v>
      </c>
      <c r="AB14" s="13"/>
      <c r="AC14" s="13"/>
      <c r="AD14" s="13"/>
      <c r="AE14" s="13"/>
      <c r="AF14" s="13"/>
      <c r="AG14" s="13"/>
      <c r="AH14" s="13"/>
    </row>
    <row r="15" spans="1:34" x14ac:dyDescent="0.25">
      <c r="A15" s="35" t="s">
        <v>249</v>
      </c>
      <c r="B15" s="18"/>
      <c r="C15" s="18"/>
      <c r="D15" s="18"/>
      <c r="E15" s="18"/>
      <c r="F15" s="18"/>
      <c r="G15" s="18"/>
      <c r="H15" s="18"/>
      <c r="I15" s="13"/>
      <c r="J15" s="13">
        <v>140000</v>
      </c>
      <c r="K15" s="13"/>
      <c r="L15" s="13"/>
      <c r="M15" s="13"/>
      <c r="N15" s="13"/>
      <c r="O15" s="13"/>
      <c r="P15" s="13"/>
      <c r="Q15" s="13"/>
      <c r="R15" s="13"/>
      <c r="S15" s="13"/>
      <c r="T15" s="18"/>
      <c r="U15" s="32"/>
      <c r="V15" s="18"/>
      <c r="W15" s="18"/>
      <c r="X15" s="18"/>
      <c r="Y15" s="18"/>
      <c r="Z15" s="18"/>
      <c r="AA15" s="13"/>
      <c r="AB15" s="13"/>
      <c r="AC15" s="13"/>
      <c r="AD15" s="13"/>
      <c r="AE15" s="13"/>
      <c r="AF15" s="13"/>
      <c r="AG15" s="13"/>
      <c r="AH15" s="13"/>
    </row>
    <row r="16" spans="1:34" x14ac:dyDescent="0.25">
      <c r="A16" s="35" t="s">
        <v>259</v>
      </c>
      <c r="B16" s="18"/>
      <c r="C16" s="18"/>
      <c r="D16" s="18"/>
      <c r="E16" s="18"/>
      <c r="F16" s="18"/>
      <c r="G16" s="18"/>
      <c r="H16" s="18"/>
      <c r="I16" s="13">
        <f>620000+60000</f>
        <v>680000</v>
      </c>
      <c r="J16" s="13"/>
      <c r="K16" s="13"/>
      <c r="L16" s="13"/>
      <c r="M16" s="13"/>
      <c r="N16" s="13"/>
      <c r="O16" s="13"/>
      <c r="P16" s="13"/>
      <c r="Q16" s="13"/>
      <c r="R16" s="13"/>
      <c r="S16" s="13"/>
      <c r="T16" s="18"/>
      <c r="U16" s="32"/>
      <c r="V16" s="18"/>
      <c r="W16" s="18"/>
      <c r="X16" s="18"/>
      <c r="Y16" s="18"/>
      <c r="Z16" s="18"/>
      <c r="AA16" s="13"/>
      <c r="AB16" s="13"/>
      <c r="AC16" s="13"/>
      <c r="AD16" s="13"/>
      <c r="AE16" s="13"/>
      <c r="AF16" s="13"/>
      <c r="AG16" s="13"/>
      <c r="AH16" s="13"/>
    </row>
    <row r="17" spans="1:34" x14ac:dyDescent="0.25">
      <c r="A17" s="35" t="s">
        <v>260</v>
      </c>
      <c r="B17" s="18"/>
      <c r="C17" s="18"/>
      <c r="D17" s="18"/>
      <c r="E17" s="18"/>
      <c r="F17" s="18"/>
      <c r="G17" s="18"/>
      <c r="H17" s="18">
        <v>614400</v>
      </c>
      <c r="I17" s="13"/>
      <c r="J17" s="13">
        <v>490000</v>
      </c>
      <c r="K17" s="13"/>
      <c r="L17" s="13"/>
      <c r="M17" s="13"/>
      <c r="N17" s="13"/>
      <c r="O17" s="13"/>
      <c r="P17" s="13"/>
      <c r="Q17" s="13"/>
      <c r="R17" s="13"/>
      <c r="S17" s="13"/>
      <c r="T17" s="18"/>
      <c r="U17" s="32"/>
      <c r="V17" s="18"/>
      <c r="W17" s="18"/>
      <c r="X17" s="18"/>
      <c r="Y17" s="18"/>
      <c r="Z17" s="18"/>
      <c r="AA17" s="13"/>
      <c r="AB17" s="13"/>
      <c r="AC17" s="13"/>
      <c r="AD17" s="13"/>
      <c r="AE17" s="13"/>
      <c r="AF17" s="13"/>
      <c r="AG17" s="13"/>
      <c r="AH17" s="13"/>
    </row>
    <row r="18" spans="1:34" ht="45" x14ac:dyDescent="0.25">
      <c r="A18" s="35" t="s">
        <v>264</v>
      </c>
      <c r="B18" s="18"/>
      <c r="C18" s="18"/>
      <c r="D18" s="18"/>
      <c r="E18" s="18"/>
      <c r="F18" s="18"/>
      <c r="G18" s="18"/>
      <c r="H18" s="18"/>
      <c r="I18" s="13"/>
      <c r="J18" s="13"/>
      <c r="K18" s="13"/>
      <c r="L18" s="13">
        <v>1080000</v>
      </c>
      <c r="M18" s="13">
        <v>1200000</v>
      </c>
      <c r="N18" s="13">
        <v>1330000</v>
      </c>
      <c r="O18" s="13">
        <v>1230000</v>
      </c>
      <c r="P18" s="13">
        <v>850000</v>
      </c>
      <c r="Q18" s="13">
        <v>990000</v>
      </c>
      <c r="R18" s="13">
        <v>1090000</v>
      </c>
      <c r="S18" s="13">
        <v>3176000</v>
      </c>
      <c r="T18" s="18">
        <v>3335800</v>
      </c>
      <c r="U18" s="32"/>
      <c r="V18" s="18">
        <v>4170000</v>
      </c>
      <c r="W18" s="18">
        <v>4190000</v>
      </c>
      <c r="X18" s="18">
        <v>4663000</v>
      </c>
      <c r="Y18" s="18">
        <v>4711000</v>
      </c>
      <c r="Z18" s="18">
        <v>4395000</v>
      </c>
      <c r="AA18" s="13">
        <v>4050000</v>
      </c>
      <c r="AB18" s="13">
        <v>5624000</v>
      </c>
      <c r="AC18" s="13">
        <v>5282650</v>
      </c>
      <c r="AD18" s="13">
        <v>5500000</v>
      </c>
      <c r="AE18" s="13">
        <v>8049000</v>
      </c>
      <c r="AF18" s="13">
        <v>8562500</v>
      </c>
      <c r="AG18" s="13">
        <v>10474500</v>
      </c>
      <c r="AH18" s="13">
        <v>13502500</v>
      </c>
    </row>
    <row r="19" spans="1:34" ht="30" x14ac:dyDescent="0.25">
      <c r="A19" s="34" t="s">
        <v>904</v>
      </c>
      <c r="B19" s="18"/>
      <c r="C19" s="18"/>
      <c r="D19" s="18"/>
      <c r="E19" s="18"/>
      <c r="F19" s="18"/>
      <c r="G19" s="18"/>
      <c r="H19" s="18"/>
      <c r="I19" s="13"/>
      <c r="J19" s="13"/>
      <c r="K19" s="13"/>
      <c r="L19" s="13"/>
      <c r="M19" s="13"/>
      <c r="N19" s="13"/>
      <c r="O19" s="13"/>
      <c r="P19" s="13"/>
      <c r="Q19" s="13">
        <v>981000</v>
      </c>
      <c r="R19" s="13">
        <v>1637410</v>
      </c>
      <c r="S19" s="13">
        <v>1110000</v>
      </c>
      <c r="T19" s="18">
        <v>1516000</v>
      </c>
      <c r="U19" s="32"/>
      <c r="V19" s="18">
        <v>1930000</v>
      </c>
      <c r="W19" s="18">
        <v>1910000</v>
      </c>
      <c r="X19" s="18">
        <v>1850000</v>
      </c>
      <c r="Y19" s="18">
        <v>1720000</v>
      </c>
      <c r="Z19" s="18">
        <v>1520000</v>
      </c>
      <c r="AA19" s="13">
        <v>1495000</v>
      </c>
      <c r="AB19" s="13">
        <v>2282500</v>
      </c>
      <c r="AC19" s="13">
        <v>1985500</v>
      </c>
      <c r="AD19" s="13">
        <v>2000000</v>
      </c>
      <c r="AE19" s="13">
        <v>2535000</v>
      </c>
      <c r="AF19" s="13">
        <v>2746500</v>
      </c>
      <c r="AG19" s="13">
        <v>3025000</v>
      </c>
      <c r="AH19" s="13">
        <v>3767500</v>
      </c>
    </row>
    <row r="20" spans="1:34" x14ac:dyDescent="0.25">
      <c r="A20" s="34" t="s">
        <v>250</v>
      </c>
      <c r="B20" s="18"/>
      <c r="C20" s="18"/>
      <c r="D20" s="18"/>
      <c r="E20" s="18"/>
      <c r="F20" s="18"/>
      <c r="G20" s="18"/>
      <c r="H20" s="18"/>
      <c r="I20" s="13"/>
      <c r="J20" s="13"/>
      <c r="K20" s="13"/>
      <c r="L20" s="13"/>
      <c r="M20" s="13"/>
      <c r="N20" s="13"/>
      <c r="O20" s="13"/>
      <c r="P20" s="13"/>
      <c r="Q20" s="13"/>
      <c r="R20" s="13"/>
      <c r="S20" s="13"/>
      <c r="T20" s="18"/>
      <c r="U20" s="32"/>
      <c r="V20" s="18">
        <f>620800+743040</f>
        <v>1363840</v>
      </c>
      <c r="W20" s="18">
        <f>743140+620800</f>
        <v>1363940</v>
      </c>
      <c r="X20" s="18">
        <f>1155700+608000</f>
        <v>1763700</v>
      </c>
      <c r="Y20" s="18">
        <f>620800+984960</f>
        <v>1605760</v>
      </c>
      <c r="Z20" s="18">
        <f>1263360+614400</f>
        <v>1877760</v>
      </c>
      <c r="AA20" s="13">
        <f>1418560+545200</f>
        <v>1963760</v>
      </c>
      <c r="AB20" s="13">
        <f>544000+1157080</f>
        <v>1701080</v>
      </c>
      <c r="AC20" s="13">
        <f>537600+1595520</f>
        <v>2133120</v>
      </c>
      <c r="AD20" s="13">
        <f>600000+1800000</f>
        <v>2400000</v>
      </c>
      <c r="AE20" s="13">
        <f>672000+1862400</f>
        <v>2534400</v>
      </c>
      <c r="AF20" s="13"/>
      <c r="AG20" s="13"/>
      <c r="AH20" s="13"/>
    </row>
    <row r="21" spans="1:34" x14ac:dyDescent="0.25">
      <c r="A21" s="34" t="s">
        <v>262</v>
      </c>
      <c r="B21" s="18"/>
      <c r="C21" s="18"/>
      <c r="D21" s="18"/>
      <c r="E21" s="18"/>
      <c r="F21" s="18"/>
      <c r="G21" s="18"/>
      <c r="H21" s="18">
        <v>120000</v>
      </c>
      <c r="I21" s="13"/>
      <c r="J21" s="13"/>
      <c r="K21" s="13"/>
      <c r="L21" s="13"/>
      <c r="M21" s="13"/>
      <c r="N21" s="13"/>
      <c r="O21" s="13"/>
      <c r="P21" s="13"/>
      <c r="Q21" s="13"/>
      <c r="R21" s="13">
        <v>30000</v>
      </c>
      <c r="S21" s="13">
        <v>30000</v>
      </c>
      <c r="T21" s="18"/>
      <c r="U21" s="32"/>
      <c r="V21" s="18"/>
      <c r="W21" s="18"/>
      <c r="X21" s="18"/>
      <c r="Y21" s="18"/>
      <c r="Z21" s="18"/>
      <c r="AA21" s="13"/>
      <c r="AB21" s="13"/>
      <c r="AC21" s="13"/>
      <c r="AD21" s="13"/>
      <c r="AE21" s="13"/>
      <c r="AF21" s="13"/>
      <c r="AG21" s="13"/>
      <c r="AH21" s="13"/>
    </row>
    <row r="22" spans="1:34" x14ac:dyDescent="0.25">
      <c r="A22" s="34" t="s">
        <v>274</v>
      </c>
      <c r="B22" s="18"/>
      <c r="C22" s="18"/>
      <c r="D22" s="18"/>
      <c r="E22" s="18"/>
      <c r="F22" s="18"/>
      <c r="G22" s="18"/>
      <c r="H22" s="18">
        <v>12800</v>
      </c>
      <c r="I22" s="13"/>
      <c r="J22" s="13"/>
      <c r="K22" s="13"/>
      <c r="L22" s="13">
        <v>40000</v>
      </c>
      <c r="M22" s="13"/>
      <c r="N22" s="13">
        <v>20000</v>
      </c>
      <c r="O22" s="13"/>
      <c r="P22" s="13">
        <v>20000</v>
      </c>
      <c r="Q22" s="13"/>
      <c r="R22" s="13"/>
      <c r="S22" s="13"/>
      <c r="T22" s="18"/>
      <c r="U22" s="32"/>
      <c r="V22" s="18"/>
      <c r="W22" s="18"/>
      <c r="X22" s="18"/>
      <c r="Y22" s="18"/>
      <c r="Z22" s="18"/>
      <c r="AA22" s="13"/>
      <c r="AB22" s="13"/>
      <c r="AC22" s="13"/>
      <c r="AD22" s="13"/>
      <c r="AE22" s="13"/>
      <c r="AF22" s="13"/>
      <c r="AG22" s="13"/>
      <c r="AH22" s="13"/>
    </row>
    <row r="23" spans="1:34" x14ac:dyDescent="0.25">
      <c r="A23" s="34" t="s">
        <v>265</v>
      </c>
      <c r="B23" s="18"/>
      <c r="C23" s="18"/>
      <c r="D23" s="18"/>
      <c r="E23" s="18"/>
      <c r="F23" s="18"/>
      <c r="G23" s="18"/>
      <c r="H23" s="18">
        <v>8000</v>
      </c>
      <c r="I23" s="13"/>
      <c r="J23" s="13"/>
      <c r="K23" s="13"/>
      <c r="L23" s="13"/>
      <c r="M23" s="13"/>
      <c r="N23" s="13"/>
      <c r="O23" s="13"/>
      <c r="P23" s="13">
        <v>30000</v>
      </c>
      <c r="Q23" s="13"/>
      <c r="R23" s="13"/>
      <c r="S23" s="13"/>
      <c r="T23" s="18"/>
      <c r="U23" s="32"/>
      <c r="V23" s="18"/>
      <c r="W23" s="18"/>
      <c r="X23" s="18"/>
      <c r="Y23" s="18"/>
      <c r="Z23" s="18"/>
      <c r="AA23" s="13"/>
      <c r="AB23" s="13"/>
      <c r="AC23" s="13"/>
      <c r="AD23" s="13"/>
      <c r="AE23" s="13"/>
      <c r="AF23" s="13"/>
      <c r="AG23" s="13"/>
      <c r="AH23" s="13"/>
    </row>
    <row r="24" spans="1:34" ht="30" x14ac:dyDescent="0.25">
      <c r="A24" s="34" t="s">
        <v>263</v>
      </c>
      <c r="B24" s="18"/>
      <c r="C24" s="18"/>
      <c r="D24" s="18"/>
      <c r="E24" s="18"/>
      <c r="F24" s="18"/>
      <c r="G24" s="18"/>
      <c r="H24" s="18"/>
      <c r="I24" s="13"/>
      <c r="J24" s="13"/>
      <c r="K24" s="13"/>
      <c r="L24" s="13"/>
      <c r="M24" s="13"/>
      <c r="N24" s="13"/>
      <c r="O24" s="13"/>
      <c r="P24" s="13"/>
      <c r="Q24" s="13"/>
      <c r="R24" s="13"/>
      <c r="S24" s="13"/>
      <c r="T24" s="18">
        <v>290000</v>
      </c>
      <c r="U24" s="32"/>
      <c r="V24" s="18"/>
      <c r="W24" s="18"/>
      <c r="X24" s="18"/>
      <c r="Y24" s="18"/>
      <c r="Z24" s="18"/>
      <c r="AA24" s="13"/>
      <c r="AB24" s="13"/>
      <c r="AC24" s="13"/>
      <c r="AD24" s="13"/>
      <c r="AE24" s="13"/>
      <c r="AF24" s="13"/>
      <c r="AG24" s="13"/>
      <c r="AH24" s="13"/>
    </row>
    <row r="25" spans="1:34" x14ac:dyDescent="0.25">
      <c r="A25" s="34" t="s">
        <v>251</v>
      </c>
      <c r="B25" s="18"/>
      <c r="C25" s="18"/>
      <c r="D25" s="18"/>
      <c r="E25" s="18"/>
      <c r="F25" s="18"/>
      <c r="G25" s="18"/>
      <c r="H25" s="18"/>
      <c r="I25" s="13"/>
      <c r="J25" s="13"/>
      <c r="K25" s="13"/>
      <c r="L25" s="13"/>
      <c r="M25" s="13"/>
      <c r="N25" s="13"/>
      <c r="O25" s="13"/>
      <c r="P25" s="13"/>
      <c r="Q25" s="13"/>
      <c r="R25" s="13"/>
      <c r="S25" s="13"/>
      <c r="T25" s="18"/>
      <c r="U25" s="32"/>
      <c r="V25" s="18"/>
      <c r="W25" s="18"/>
      <c r="X25" s="18"/>
      <c r="Y25" s="18"/>
      <c r="Z25" s="18"/>
      <c r="AA25" s="13"/>
      <c r="AB25" s="13"/>
      <c r="AC25" s="13">
        <v>135000</v>
      </c>
      <c r="AD25" s="13">
        <v>200000</v>
      </c>
      <c r="AE25" s="13">
        <v>370000</v>
      </c>
      <c r="AF25" s="13">
        <v>485000</v>
      </c>
      <c r="AG25" s="13">
        <v>400000</v>
      </c>
      <c r="AH25" s="13">
        <v>540000</v>
      </c>
    </row>
    <row r="26" spans="1:34" x14ac:dyDescent="0.25">
      <c r="A26" s="34" t="s">
        <v>268</v>
      </c>
      <c r="B26" s="18"/>
      <c r="C26" s="18"/>
      <c r="D26" s="18"/>
      <c r="E26" s="18"/>
      <c r="F26" s="18"/>
      <c r="G26" s="18"/>
      <c r="H26" s="18"/>
      <c r="I26" s="13"/>
      <c r="J26" s="13"/>
      <c r="K26" s="13"/>
      <c r="L26" s="13"/>
      <c r="M26" s="13"/>
      <c r="N26" s="13"/>
      <c r="O26" s="13"/>
      <c r="P26" s="13">
        <v>120000</v>
      </c>
      <c r="Q26" s="13"/>
      <c r="R26" s="13">
        <v>1200000</v>
      </c>
      <c r="S26" s="13">
        <v>3400000</v>
      </c>
      <c r="T26" s="18">
        <v>3200000</v>
      </c>
      <c r="U26" s="32"/>
      <c r="V26" s="18">
        <v>3600000</v>
      </c>
      <c r="W26" s="18">
        <v>3200000</v>
      </c>
      <c r="X26" s="18">
        <v>2800000</v>
      </c>
      <c r="Y26" s="18">
        <v>1400000</v>
      </c>
      <c r="Z26" s="18">
        <v>2000000</v>
      </c>
      <c r="AA26" s="13">
        <v>2800000</v>
      </c>
      <c r="AB26" s="13">
        <v>3000000</v>
      </c>
      <c r="AC26" s="13">
        <v>2400000</v>
      </c>
      <c r="AD26" s="13">
        <v>3000000</v>
      </c>
      <c r="AE26" s="13">
        <v>5225000</v>
      </c>
      <c r="AF26" s="13">
        <v>9750000</v>
      </c>
      <c r="AG26" s="13">
        <v>9950000</v>
      </c>
      <c r="AH26" s="13"/>
    </row>
    <row r="27" spans="1:34" x14ac:dyDescent="0.25">
      <c r="A27" s="34" t="s">
        <v>267</v>
      </c>
      <c r="B27" s="18"/>
      <c r="C27" s="18"/>
      <c r="D27" s="18"/>
      <c r="E27" s="18"/>
      <c r="F27" s="18"/>
      <c r="G27" s="18"/>
      <c r="H27" s="18"/>
      <c r="I27" s="13"/>
      <c r="J27" s="13"/>
      <c r="K27" s="13"/>
      <c r="L27" s="13"/>
      <c r="M27" s="13">
        <v>8000</v>
      </c>
      <c r="N27" s="13">
        <v>8000</v>
      </c>
      <c r="O27" s="13"/>
      <c r="P27" s="13">
        <v>40000</v>
      </c>
      <c r="Q27" s="13">
        <v>80000</v>
      </c>
      <c r="R27" s="13"/>
      <c r="S27" s="13"/>
      <c r="T27" s="18"/>
      <c r="U27" s="32"/>
      <c r="V27" s="18"/>
      <c r="W27" s="18"/>
      <c r="X27" s="18"/>
      <c r="Y27" s="18"/>
      <c r="Z27" s="18"/>
      <c r="AA27" s="13"/>
      <c r="AB27" s="13"/>
      <c r="AC27" s="13"/>
      <c r="AD27" s="13"/>
      <c r="AE27" s="13"/>
      <c r="AF27" s="13"/>
      <c r="AG27" s="13"/>
      <c r="AH27" s="13"/>
    </row>
    <row r="28" spans="1:34" x14ac:dyDescent="0.25">
      <c r="A28" s="34" t="s">
        <v>266</v>
      </c>
      <c r="B28" s="18"/>
      <c r="C28" s="18"/>
      <c r="D28" s="18"/>
      <c r="E28" s="18"/>
      <c r="F28" s="18"/>
      <c r="G28" s="18"/>
      <c r="H28" s="18"/>
      <c r="I28" s="13"/>
      <c r="J28" s="13"/>
      <c r="K28" s="13"/>
      <c r="L28" s="13"/>
      <c r="M28" s="13"/>
      <c r="N28" s="13"/>
      <c r="O28" s="13"/>
      <c r="P28" s="13"/>
      <c r="Q28" s="13"/>
      <c r="R28" s="13">
        <v>184000</v>
      </c>
      <c r="S28" s="13">
        <v>170000</v>
      </c>
      <c r="T28" s="18">
        <v>135000</v>
      </c>
      <c r="U28" s="32"/>
      <c r="V28" s="18">
        <v>140000</v>
      </c>
      <c r="W28" s="18">
        <v>120000</v>
      </c>
      <c r="X28" s="18">
        <v>165000</v>
      </c>
      <c r="Y28" s="18">
        <v>155000</v>
      </c>
      <c r="Z28" s="18">
        <v>155000</v>
      </c>
      <c r="AA28" s="13">
        <v>145000</v>
      </c>
      <c r="AB28" s="13"/>
      <c r="AC28" s="13"/>
      <c r="AD28" s="13"/>
      <c r="AE28" s="13"/>
      <c r="AF28" s="13"/>
      <c r="AG28" s="13"/>
      <c r="AH28" s="13"/>
    </row>
    <row r="29" spans="1:34" x14ac:dyDescent="0.25">
      <c r="A29" s="34" t="s">
        <v>905</v>
      </c>
      <c r="B29" s="18"/>
      <c r="C29" s="18"/>
      <c r="D29" s="18"/>
      <c r="E29" s="18"/>
      <c r="F29" s="18"/>
      <c r="G29" s="18"/>
      <c r="H29" s="18"/>
      <c r="I29" s="13"/>
      <c r="J29" s="13"/>
      <c r="K29" s="13"/>
      <c r="L29" s="13"/>
      <c r="M29" s="13"/>
      <c r="N29" s="13"/>
      <c r="O29" s="13"/>
      <c r="P29" s="13"/>
      <c r="Q29" s="13"/>
      <c r="R29" s="13"/>
      <c r="S29" s="13"/>
      <c r="T29" s="18"/>
      <c r="U29" s="32"/>
      <c r="V29" s="18"/>
      <c r="W29" s="18"/>
      <c r="X29" s="18"/>
      <c r="Y29" s="18"/>
      <c r="Z29" s="18"/>
      <c r="AA29" s="13"/>
      <c r="AB29" s="13">
        <v>60000</v>
      </c>
      <c r="AC29" s="13">
        <v>30000</v>
      </c>
      <c r="AD29" s="13">
        <v>100000</v>
      </c>
      <c r="AE29" s="13">
        <v>60000</v>
      </c>
      <c r="AF29" s="13">
        <v>200000</v>
      </c>
      <c r="AG29" s="13">
        <v>70000</v>
      </c>
      <c r="AH29" s="13">
        <v>20000</v>
      </c>
    </row>
    <row r="30" spans="1:34" x14ac:dyDescent="0.25">
      <c r="A30" s="34" t="s">
        <v>907</v>
      </c>
      <c r="B30" s="18">
        <v>8000</v>
      </c>
      <c r="C30" s="18">
        <v>40000</v>
      </c>
      <c r="D30" s="18">
        <v>60000</v>
      </c>
      <c r="E30" s="18"/>
      <c r="F30" s="18">
        <v>120000</v>
      </c>
      <c r="G30" s="18">
        <v>120000</v>
      </c>
      <c r="H30" s="18"/>
      <c r="I30" s="13">
        <v>288391</v>
      </c>
      <c r="J30" s="13">
        <v>199680</v>
      </c>
      <c r="K30" s="13"/>
      <c r="L30" s="13">
        <v>339440</v>
      </c>
      <c r="M30" s="13">
        <v>322480</v>
      </c>
      <c r="N30" s="13">
        <v>336000</v>
      </c>
      <c r="O30" s="13">
        <v>322176</v>
      </c>
      <c r="P30" s="13">
        <v>330240</v>
      </c>
      <c r="Q30" s="13">
        <v>376320</v>
      </c>
      <c r="R30" s="13">
        <v>624000</v>
      </c>
      <c r="S30" s="13">
        <v>546800</v>
      </c>
      <c r="T30" s="18">
        <v>447360</v>
      </c>
      <c r="U30" s="32"/>
      <c r="V30" s="18"/>
      <c r="W30" s="18"/>
      <c r="X30" s="18"/>
      <c r="Y30" s="18"/>
      <c r="Z30" s="18"/>
      <c r="AA30" s="13"/>
      <c r="AB30" s="13"/>
      <c r="AC30" s="13"/>
      <c r="AD30" s="13"/>
      <c r="AE30" s="13"/>
      <c r="AF30" s="13">
        <v>2560608</v>
      </c>
      <c r="AG30" s="13">
        <v>2695780</v>
      </c>
      <c r="AH30" s="13">
        <v>3454080</v>
      </c>
    </row>
    <row r="31" spans="1:34" x14ac:dyDescent="0.25">
      <c r="A31" s="34" t="s">
        <v>908</v>
      </c>
      <c r="B31" s="18">
        <v>12000</v>
      </c>
      <c r="C31" s="18">
        <v>12000</v>
      </c>
      <c r="D31" s="18">
        <v>12000</v>
      </c>
      <c r="E31" s="18"/>
      <c r="F31" s="18">
        <v>12000</v>
      </c>
      <c r="G31" s="18">
        <v>150000</v>
      </c>
      <c r="H31" s="18"/>
      <c r="I31" s="13">
        <v>16000</v>
      </c>
      <c r="J31" s="13">
        <v>40000</v>
      </c>
      <c r="K31" s="13"/>
      <c r="L31" s="13">
        <v>16000</v>
      </c>
      <c r="M31" s="13"/>
      <c r="N31" s="13"/>
      <c r="O31" s="13">
        <v>60000</v>
      </c>
      <c r="P31" s="13">
        <v>64000</v>
      </c>
      <c r="Q31" s="13">
        <v>128000</v>
      </c>
      <c r="R31" s="13">
        <v>430000</v>
      </c>
      <c r="S31" s="13">
        <v>410000</v>
      </c>
      <c r="T31" s="18">
        <v>380000</v>
      </c>
      <c r="U31" s="32"/>
      <c r="V31" s="18">
        <v>520000</v>
      </c>
      <c r="W31" s="18">
        <v>520000</v>
      </c>
      <c r="X31" s="18">
        <v>460000</v>
      </c>
      <c r="Y31" s="18">
        <v>500000</v>
      </c>
      <c r="Z31" s="18">
        <v>340000</v>
      </c>
      <c r="AA31" s="13">
        <v>280000</v>
      </c>
      <c r="AB31" s="13">
        <v>500000</v>
      </c>
      <c r="AC31" s="13">
        <v>390000</v>
      </c>
      <c r="AD31" s="13">
        <v>500000</v>
      </c>
      <c r="AE31" s="13">
        <v>680000</v>
      </c>
      <c r="AF31" s="13">
        <v>860000</v>
      </c>
      <c r="AG31" s="13">
        <v>680000</v>
      </c>
      <c r="AH31" s="13">
        <v>1005000</v>
      </c>
    </row>
    <row r="32" spans="1:34" x14ac:dyDescent="0.25">
      <c r="A32" s="34" t="s">
        <v>909</v>
      </c>
      <c r="B32" s="18">
        <v>116000</v>
      </c>
      <c r="C32" s="18">
        <v>130000</v>
      </c>
      <c r="D32" s="18">
        <v>150000</v>
      </c>
      <c r="E32" s="18"/>
      <c r="F32" s="18">
        <v>150000</v>
      </c>
      <c r="G32" s="18">
        <v>20000</v>
      </c>
      <c r="H32" s="18"/>
      <c r="I32" s="13"/>
      <c r="J32" s="13"/>
      <c r="K32" s="13"/>
      <c r="L32" s="13"/>
      <c r="M32" s="13"/>
      <c r="N32" s="13">
        <v>92000</v>
      </c>
      <c r="O32" s="13"/>
      <c r="P32" s="13"/>
      <c r="Q32" s="13"/>
      <c r="R32" s="13"/>
      <c r="S32" s="13"/>
      <c r="T32" s="18"/>
      <c r="U32" s="32"/>
      <c r="V32" s="18"/>
      <c r="W32" s="18"/>
      <c r="X32" s="18"/>
      <c r="Y32" s="18"/>
      <c r="Z32" s="18"/>
      <c r="AA32" s="13"/>
      <c r="AB32" s="13"/>
      <c r="AC32" s="13"/>
      <c r="AD32" s="13"/>
      <c r="AE32" s="13"/>
      <c r="AF32" s="13"/>
      <c r="AG32" s="13"/>
      <c r="AH32" s="13"/>
    </row>
    <row r="33" spans="1:34" x14ac:dyDescent="0.25">
      <c r="A33" s="34" t="s">
        <v>910</v>
      </c>
      <c r="B33" s="18"/>
      <c r="C33" s="18"/>
      <c r="D33" s="18"/>
      <c r="E33" s="18"/>
      <c r="F33" s="18"/>
      <c r="G33" s="18"/>
      <c r="H33" s="18"/>
      <c r="I33" s="13"/>
      <c r="J33" s="13"/>
      <c r="K33" s="13"/>
      <c r="L33" s="13"/>
      <c r="M33" s="13"/>
      <c r="N33" s="13"/>
      <c r="O33" s="13"/>
      <c r="P33" s="13"/>
      <c r="Q33" s="13"/>
      <c r="R33" s="13"/>
      <c r="S33" s="13"/>
      <c r="T33" s="18"/>
      <c r="U33" s="32"/>
      <c r="V33" s="18"/>
      <c r="W33" s="18"/>
      <c r="X33" s="18"/>
      <c r="Y33" s="18"/>
      <c r="Z33" s="18"/>
      <c r="AA33" s="13"/>
      <c r="AB33" s="13"/>
      <c r="AC33" s="13"/>
      <c r="AD33" s="13"/>
      <c r="AE33" s="13"/>
      <c r="AF33" s="13"/>
      <c r="AG33" s="13"/>
      <c r="AH33" s="13"/>
    </row>
    <row r="34" spans="1:34" x14ac:dyDescent="0.25">
      <c r="A34" s="34" t="s">
        <v>269</v>
      </c>
      <c r="B34" s="18"/>
      <c r="C34" s="18"/>
      <c r="D34" s="18"/>
      <c r="E34" s="18"/>
      <c r="F34" s="18"/>
      <c r="G34" s="18"/>
      <c r="H34" s="18"/>
      <c r="I34" s="13"/>
      <c r="J34" s="13">
        <v>10000</v>
      </c>
      <c r="K34" s="13"/>
      <c r="L34" s="13"/>
      <c r="M34" s="13"/>
      <c r="N34" s="13"/>
      <c r="O34" s="13"/>
      <c r="P34" s="13">
        <v>5000</v>
      </c>
      <c r="Q34" s="13">
        <v>20000</v>
      </c>
      <c r="R34" s="13">
        <v>10000</v>
      </c>
      <c r="S34" s="13">
        <v>10000</v>
      </c>
      <c r="T34" s="18"/>
      <c r="U34" s="32"/>
      <c r="V34" s="18">
        <v>10000</v>
      </c>
      <c r="W34" s="18">
        <v>20000</v>
      </c>
      <c r="X34" s="18">
        <v>30000</v>
      </c>
      <c r="Y34" s="18">
        <v>60000</v>
      </c>
      <c r="Z34" s="18">
        <v>30000</v>
      </c>
      <c r="AA34" s="13">
        <v>40000</v>
      </c>
      <c r="AB34" s="13">
        <v>100000</v>
      </c>
      <c r="AC34" s="13">
        <v>10000</v>
      </c>
      <c r="AD34" s="13">
        <v>50000</v>
      </c>
      <c r="AE34" s="13">
        <v>55000</v>
      </c>
      <c r="AF34" s="13"/>
      <c r="AG34" s="13"/>
      <c r="AH34" s="13"/>
    </row>
    <row r="35" spans="1:34" x14ac:dyDescent="0.25">
      <c r="A35" s="34" t="s">
        <v>1371</v>
      </c>
      <c r="B35" s="18"/>
      <c r="C35" s="18"/>
      <c r="D35" s="18"/>
      <c r="E35" s="18"/>
      <c r="F35" s="18"/>
      <c r="G35" s="18"/>
      <c r="H35" s="18"/>
      <c r="I35" s="13"/>
      <c r="J35" s="13"/>
      <c r="K35" s="13"/>
      <c r="L35" s="13">
        <v>100000</v>
      </c>
      <c r="M35" s="13">
        <v>220000</v>
      </c>
      <c r="N35" s="13">
        <v>100000</v>
      </c>
      <c r="O35" s="13"/>
      <c r="P35" s="13"/>
      <c r="Q35" s="13">
        <v>260000</v>
      </c>
      <c r="R35" s="13">
        <v>210000</v>
      </c>
      <c r="S35" s="13">
        <v>630000</v>
      </c>
      <c r="T35" s="18">
        <v>300000</v>
      </c>
      <c r="U35" s="32"/>
      <c r="V35" s="18">
        <v>510000</v>
      </c>
      <c r="W35" s="18">
        <v>460000</v>
      </c>
      <c r="X35" s="18">
        <v>750000</v>
      </c>
      <c r="Y35" s="18">
        <v>620000</v>
      </c>
      <c r="Z35" s="18">
        <v>430000</v>
      </c>
      <c r="AA35" s="13">
        <v>220000</v>
      </c>
      <c r="AB35" s="13">
        <v>535000</v>
      </c>
      <c r="AC35" s="13">
        <v>560000</v>
      </c>
      <c r="AD35" s="13">
        <v>600000</v>
      </c>
      <c r="AE35" s="13">
        <v>468750</v>
      </c>
      <c r="AF35" s="13">
        <v>511250</v>
      </c>
      <c r="AG35" s="13">
        <v>735000</v>
      </c>
      <c r="AH35" s="13">
        <v>903750</v>
      </c>
    </row>
    <row r="36" spans="1:34" x14ac:dyDescent="0.25">
      <c r="A36" s="34" t="s">
        <v>287</v>
      </c>
      <c r="B36" s="18"/>
      <c r="C36" s="18"/>
      <c r="D36" s="18"/>
      <c r="E36" s="18"/>
      <c r="F36" s="18"/>
      <c r="G36" s="18"/>
      <c r="H36" s="18"/>
      <c r="I36" s="13">
        <v>10000</v>
      </c>
      <c r="J36" s="13">
        <v>20000</v>
      </c>
      <c r="K36" s="13"/>
      <c r="L36" s="13"/>
      <c r="M36" s="13"/>
      <c r="N36" s="13"/>
      <c r="O36" s="13"/>
      <c r="P36" s="13">
        <v>44000</v>
      </c>
      <c r="Q36" s="13">
        <v>48000</v>
      </c>
      <c r="R36" s="13"/>
      <c r="S36" s="13"/>
      <c r="T36" s="18"/>
      <c r="U36" s="32"/>
      <c r="V36" s="18"/>
      <c r="W36" s="18"/>
      <c r="X36" s="18"/>
      <c r="Y36" s="18"/>
      <c r="Z36" s="18"/>
      <c r="AA36" s="13"/>
      <c r="AB36" s="13"/>
      <c r="AC36" s="13"/>
      <c r="AD36" s="13"/>
      <c r="AE36" s="13"/>
      <c r="AF36" s="13"/>
      <c r="AG36" s="13"/>
      <c r="AH36" s="13"/>
    </row>
    <row r="37" spans="1:34" x14ac:dyDescent="0.25">
      <c r="A37" s="34" t="s">
        <v>270</v>
      </c>
      <c r="B37" s="18"/>
      <c r="C37" s="18"/>
      <c r="D37" s="18"/>
      <c r="E37" s="18"/>
      <c r="F37" s="18"/>
      <c r="G37" s="18"/>
      <c r="H37" s="18"/>
      <c r="I37" s="13"/>
      <c r="J37" s="13"/>
      <c r="K37" s="13"/>
      <c r="L37" s="13"/>
      <c r="M37" s="13"/>
      <c r="N37" s="13"/>
      <c r="O37" s="13"/>
      <c r="P37" s="13">
        <v>4000</v>
      </c>
      <c r="Q37" s="13"/>
      <c r="R37" s="13"/>
      <c r="S37" s="13"/>
      <c r="T37" s="18"/>
      <c r="U37" s="32"/>
      <c r="V37" s="18"/>
      <c r="W37" s="18"/>
      <c r="X37" s="18"/>
      <c r="Y37" s="18"/>
      <c r="Z37" s="18"/>
      <c r="AA37" s="13"/>
      <c r="AB37" s="13"/>
      <c r="AC37" s="13"/>
      <c r="AD37" s="13"/>
      <c r="AE37" s="13"/>
      <c r="AF37" s="13"/>
      <c r="AG37" s="13"/>
      <c r="AH37" s="13"/>
    </row>
    <row r="38" spans="1:34" x14ac:dyDescent="0.25">
      <c r="A38" s="34" t="s">
        <v>976</v>
      </c>
      <c r="B38" s="18"/>
      <c r="C38" s="18"/>
      <c r="D38" s="18"/>
      <c r="E38" s="18"/>
      <c r="F38" s="18"/>
      <c r="G38" s="18"/>
      <c r="H38" s="18"/>
      <c r="I38" s="13"/>
      <c r="J38" s="13"/>
      <c r="K38" s="13"/>
      <c r="L38" s="13"/>
      <c r="M38" s="13"/>
      <c r="N38" s="13"/>
      <c r="O38" s="13"/>
      <c r="P38" s="13">
        <v>140000</v>
      </c>
      <c r="Q38" s="13"/>
      <c r="R38" s="13"/>
      <c r="S38" s="13"/>
      <c r="T38" s="18"/>
      <c r="U38" s="32"/>
      <c r="V38" s="18"/>
      <c r="W38" s="18"/>
      <c r="X38" s="18"/>
      <c r="Y38" s="18"/>
      <c r="Z38" s="18"/>
      <c r="AA38" s="13"/>
      <c r="AB38" s="13"/>
      <c r="AC38" s="13"/>
      <c r="AD38" s="13"/>
      <c r="AE38" s="13"/>
      <c r="AF38" s="13"/>
      <c r="AG38" s="13"/>
      <c r="AH38" s="13"/>
    </row>
    <row r="39" spans="1:34" ht="30" x14ac:dyDescent="0.25">
      <c r="A39" s="34" t="s">
        <v>911</v>
      </c>
      <c r="B39" s="18"/>
      <c r="C39" s="18"/>
      <c r="D39" s="18"/>
      <c r="E39" s="18"/>
      <c r="F39" s="18"/>
      <c r="G39" s="18"/>
      <c r="H39" s="18"/>
      <c r="I39" s="13"/>
      <c r="J39" s="13"/>
      <c r="K39" s="13"/>
      <c r="L39" s="13"/>
      <c r="M39" s="13"/>
      <c r="N39" s="13"/>
      <c r="O39" s="13">
        <v>229000</v>
      </c>
      <c r="P39" s="13"/>
      <c r="Q39" s="13"/>
      <c r="R39" s="13"/>
      <c r="S39" s="13"/>
      <c r="T39" s="18"/>
      <c r="U39" s="32"/>
      <c r="V39" s="18"/>
      <c r="W39" s="18"/>
      <c r="X39" s="18"/>
      <c r="Y39" s="18"/>
      <c r="Z39" s="18"/>
      <c r="AA39" s="13"/>
      <c r="AB39" s="13"/>
      <c r="AC39" s="13"/>
      <c r="AD39" s="13"/>
      <c r="AE39" s="13"/>
      <c r="AF39" s="13"/>
      <c r="AG39" s="13"/>
      <c r="AH39" s="13"/>
    </row>
    <row r="40" spans="1:34" x14ac:dyDescent="0.25">
      <c r="A40" s="34" t="s">
        <v>272</v>
      </c>
      <c r="B40" s="18"/>
      <c r="C40" s="18"/>
      <c r="D40" s="18"/>
      <c r="E40" s="18"/>
      <c r="F40" s="18"/>
      <c r="G40" s="18"/>
      <c r="H40" s="18"/>
      <c r="I40" s="13"/>
      <c r="J40" s="13"/>
      <c r="K40" s="13"/>
      <c r="L40" s="13"/>
      <c r="M40" s="13"/>
      <c r="N40" s="13"/>
      <c r="O40" s="13"/>
      <c r="P40" s="13"/>
      <c r="Q40" s="13"/>
      <c r="R40" s="13"/>
      <c r="S40" s="13">
        <v>150000</v>
      </c>
      <c r="T40" s="18">
        <v>135000</v>
      </c>
      <c r="U40" s="32"/>
      <c r="V40" s="18">
        <v>165000</v>
      </c>
      <c r="W40" s="18">
        <v>160000</v>
      </c>
      <c r="X40" s="18">
        <v>240000</v>
      </c>
      <c r="Y40" s="18">
        <v>285000</v>
      </c>
      <c r="Z40" s="18">
        <v>210000</v>
      </c>
      <c r="AA40" s="13">
        <v>210000</v>
      </c>
      <c r="AB40" s="13">
        <v>315000</v>
      </c>
      <c r="AC40" s="13">
        <v>300000</v>
      </c>
      <c r="AD40" s="13">
        <v>400000</v>
      </c>
      <c r="AE40" s="13">
        <v>420000</v>
      </c>
      <c r="AF40" s="13">
        <v>570000</v>
      </c>
      <c r="AG40" s="13">
        <v>945000</v>
      </c>
      <c r="AH40" s="13">
        <v>1185000</v>
      </c>
    </row>
    <row r="41" spans="1:34" x14ac:dyDescent="0.25">
      <c r="A41" s="34" t="s">
        <v>273</v>
      </c>
      <c r="B41" s="18"/>
      <c r="C41" s="18"/>
      <c r="D41" s="18"/>
      <c r="E41" s="18"/>
      <c r="F41" s="18"/>
      <c r="G41" s="18"/>
      <c r="H41" s="18"/>
      <c r="I41" s="13"/>
      <c r="J41" s="13"/>
      <c r="K41" s="13"/>
      <c r="L41" s="13"/>
      <c r="M41" s="13"/>
      <c r="N41" s="13">
        <v>89000</v>
      </c>
      <c r="O41" s="13"/>
      <c r="P41" s="13"/>
      <c r="Q41" s="13"/>
      <c r="R41" s="13"/>
      <c r="S41" s="13"/>
      <c r="T41" s="18"/>
      <c r="U41" s="32"/>
      <c r="V41" s="18"/>
      <c r="W41" s="18"/>
      <c r="X41" s="18"/>
      <c r="Y41" s="18"/>
      <c r="Z41" s="18"/>
      <c r="AA41" s="13"/>
      <c r="AB41" s="13"/>
      <c r="AC41" s="13"/>
      <c r="AD41" s="13"/>
      <c r="AE41" s="13"/>
      <c r="AF41" s="13"/>
      <c r="AG41" s="13"/>
      <c r="AH41" s="13"/>
    </row>
    <row r="42" spans="1:34" x14ac:dyDescent="0.25">
      <c r="A42" s="34" t="s">
        <v>276</v>
      </c>
      <c r="B42" s="18"/>
      <c r="C42" s="18"/>
      <c r="D42" s="18"/>
      <c r="E42" s="18"/>
      <c r="F42" s="18"/>
      <c r="G42" s="18"/>
      <c r="H42" s="18"/>
      <c r="I42" s="13"/>
      <c r="J42" s="13"/>
      <c r="K42" s="13"/>
      <c r="L42" s="13"/>
      <c r="M42" s="13"/>
      <c r="N42" s="13">
        <v>160000</v>
      </c>
      <c r="O42" s="13"/>
      <c r="P42" s="13"/>
      <c r="Q42" s="13">
        <v>210000</v>
      </c>
      <c r="R42" s="13"/>
      <c r="S42" s="13"/>
      <c r="T42" s="18"/>
      <c r="U42" s="32"/>
      <c r="V42" s="18"/>
      <c r="W42" s="18"/>
      <c r="X42" s="18"/>
      <c r="Y42" s="18"/>
      <c r="Z42" s="18"/>
      <c r="AA42" s="13"/>
      <c r="AB42" s="13"/>
      <c r="AC42" s="13"/>
      <c r="AD42" s="13"/>
      <c r="AE42" s="13"/>
      <c r="AF42" s="13"/>
      <c r="AG42" s="13"/>
      <c r="AH42" s="13"/>
    </row>
    <row r="43" spans="1:34" x14ac:dyDescent="0.25">
      <c r="A43" s="34" t="s">
        <v>915</v>
      </c>
      <c r="B43" s="18"/>
      <c r="C43" s="18"/>
      <c r="D43" s="18"/>
      <c r="E43" s="18"/>
      <c r="F43" s="18"/>
      <c r="G43" s="18"/>
      <c r="H43" s="18"/>
      <c r="I43" s="13"/>
      <c r="J43" s="13"/>
      <c r="K43" s="13"/>
      <c r="L43" s="13"/>
      <c r="M43" s="13"/>
      <c r="N43" s="13"/>
      <c r="O43" s="13"/>
      <c r="P43" s="13"/>
      <c r="Q43" s="13"/>
      <c r="R43" s="13">
        <v>180000</v>
      </c>
      <c r="S43" s="13">
        <v>100000</v>
      </c>
      <c r="T43" s="18">
        <v>80000</v>
      </c>
      <c r="U43" s="32"/>
      <c r="V43" s="18">
        <v>80000</v>
      </c>
      <c r="W43" s="18">
        <v>100000</v>
      </c>
      <c r="X43" s="18">
        <v>80000</v>
      </c>
      <c r="Y43" s="18">
        <v>200000</v>
      </c>
      <c r="Z43" s="18">
        <v>200000</v>
      </c>
      <c r="AA43" s="13">
        <v>260000</v>
      </c>
      <c r="AB43" s="13">
        <v>235000</v>
      </c>
      <c r="AC43" s="13">
        <v>187500</v>
      </c>
      <c r="AD43" s="13">
        <v>250000</v>
      </c>
      <c r="AE43" s="13">
        <v>190000</v>
      </c>
      <c r="AF43" s="13">
        <v>262500</v>
      </c>
      <c r="AG43" s="13">
        <v>285000</v>
      </c>
      <c r="AH43" s="13">
        <v>275000</v>
      </c>
    </row>
    <row r="44" spans="1:34" x14ac:dyDescent="0.25">
      <c r="A44" s="34" t="s">
        <v>275</v>
      </c>
      <c r="B44" s="18"/>
      <c r="C44" s="18"/>
      <c r="D44" s="18"/>
      <c r="E44" s="18"/>
      <c r="F44" s="18"/>
      <c r="G44" s="18"/>
      <c r="H44" s="18"/>
      <c r="I44" s="13"/>
      <c r="J44" s="13"/>
      <c r="K44" s="13"/>
      <c r="L44" s="13"/>
      <c r="M44" s="13"/>
      <c r="N44" s="13"/>
      <c r="O44" s="13"/>
      <c r="P44" s="13"/>
      <c r="Q44" s="13"/>
      <c r="R44" s="13"/>
      <c r="S44" s="13"/>
      <c r="T44" s="18"/>
      <c r="U44" s="32"/>
      <c r="V44" s="18"/>
      <c r="W44" s="18"/>
      <c r="X44" s="18"/>
      <c r="Y44" s="18"/>
      <c r="Z44" s="18"/>
      <c r="AA44" s="13"/>
      <c r="AB44" s="13"/>
      <c r="AC44" s="13"/>
      <c r="AD44" s="13"/>
      <c r="AE44" s="13"/>
      <c r="AF44" s="13"/>
      <c r="AG44" s="13"/>
      <c r="AH44" s="13"/>
    </row>
    <row r="45" spans="1:34" x14ac:dyDescent="0.25">
      <c r="A45" s="34" t="s">
        <v>252</v>
      </c>
      <c r="B45" s="18"/>
      <c r="C45" s="18"/>
      <c r="D45" s="18"/>
      <c r="E45" s="18"/>
      <c r="F45" s="18"/>
      <c r="G45" s="18"/>
      <c r="H45" s="18"/>
      <c r="I45" s="13"/>
      <c r="J45" s="13"/>
      <c r="K45" s="13"/>
      <c r="L45" s="13"/>
      <c r="M45" s="13"/>
      <c r="N45" s="13"/>
      <c r="O45" s="13"/>
      <c r="P45" s="13"/>
      <c r="Q45" s="13"/>
      <c r="R45" s="13"/>
      <c r="S45" s="13">
        <v>120000</v>
      </c>
      <c r="T45" s="18">
        <v>70000</v>
      </c>
      <c r="U45" s="32"/>
      <c r="V45" s="18"/>
      <c r="W45" s="18"/>
      <c r="X45" s="18"/>
      <c r="Y45" s="18"/>
      <c r="Z45" s="18"/>
      <c r="AA45" s="13"/>
      <c r="AB45" s="13"/>
      <c r="AC45" s="13"/>
      <c r="AD45" s="13"/>
      <c r="AE45" s="13"/>
      <c r="AF45" s="13"/>
      <c r="AG45" s="13"/>
      <c r="AH45" s="13"/>
    </row>
    <row r="46" spans="1:34" x14ac:dyDescent="0.25">
      <c r="A46" s="35" t="s">
        <v>258</v>
      </c>
      <c r="B46" s="18"/>
      <c r="C46" s="18"/>
      <c r="D46" s="18"/>
      <c r="E46" s="18"/>
      <c r="F46" s="18"/>
      <c r="G46" s="18"/>
      <c r="H46" s="18">
        <v>100000</v>
      </c>
      <c r="I46" s="13">
        <v>160000</v>
      </c>
      <c r="J46" s="13">
        <v>160000</v>
      </c>
      <c r="K46" s="13"/>
      <c r="L46" s="13"/>
      <c r="M46" s="13"/>
      <c r="N46" s="13"/>
      <c r="O46" s="13"/>
      <c r="P46" s="13"/>
      <c r="Q46" s="13"/>
      <c r="R46" s="13"/>
      <c r="S46" s="13"/>
      <c r="T46" s="18"/>
      <c r="U46" s="32"/>
      <c r="V46" s="18"/>
      <c r="W46" s="18"/>
      <c r="X46" s="18"/>
      <c r="Y46" s="18"/>
      <c r="Z46" s="18"/>
      <c r="AA46" s="13"/>
      <c r="AB46" s="13"/>
      <c r="AC46" s="13"/>
      <c r="AD46" s="13"/>
      <c r="AE46" s="13"/>
      <c r="AF46" s="13"/>
      <c r="AG46" s="13"/>
      <c r="AH46" s="13"/>
    </row>
    <row r="47" spans="1:34" x14ac:dyDescent="0.25">
      <c r="A47" s="34" t="s">
        <v>912</v>
      </c>
      <c r="B47" s="18"/>
      <c r="C47" s="18"/>
      <c r="D47" s="18"/>
      <c r="E47" s="18"/>
      <c r="F47" s="18"/>
      <c r="G47" s="18"/>
      <c r="H47" s="18"/>
      <c r="I47" s="13"/>
      <c r="J47" s="13"/>
      <c r="K47" s="13"/>
      <c r="L47" s="13"/>
      <c r="M47" s="13"/>
      <c r="N47" s="13"/>
      <c r="O47" s="13"/>
      <c r="P47" s="13"/>
      <c r="Q47" s="13"/>
      <c r="R47" s="13"/>
      <c r="S47" s="13"/>
      <c r="T47" s="18"/>
      <c r="U47" s="32"/>
      <c r="V47" s="18"/>
      <c r="W47" s="18"/>
      <c r="X47" s="18"/>
      <c r="Y47" s="18"/>
      <c r="Z47" s="18"/>
      <c r="AA47" s="13"/>
      <c r="AB47" s="13">
        <v>600000</v>
      </c>
      <c r="AC47" s="13">
        <v>450000</v>
      </c>
      <c r="AD47" s="13">
        <v>600000</v>
      </c>
      <c r="AE47" s="13">
        <v>600000</v>
      </c>
      <c r="AF47" s="13">
        <v>300000</v>
      </c>
      <c r="AG47" s="13">
        <v>225000</v>
      </c>
      <c r="AH47" s="13">
        <v>375000</v>
      </c>
    </row>
    <row r="48" spans="1:34" x14ac:dyDescent="0.25">
      <c r="A48" s="34" t="s">
        <v>278</v>
      </c>
      <c r="B48" s="18"/>
      <c r="C48" s="18"/>
      <c r="D48" s="18"/>
      <c r="E48" s="18"/>
      <c r="F48" s="18"/>
      <c r="G48" s="18"/>
      <c r="H48" s="18">
        <v>12000</v>
      </c>
      <c r="I48" s="13"/>
      <c r="J48" s="13">
        <v>110000</v>
      </c>
      <c r="K48" s="13"/>
      <c r="L48" s="13"/>
      <c r="M48" s="13"/>
      <c r="N48" s="13"/>
      <c r="O48" s="13"/>
      <c r="P48" s="13"/>
      <c r="Q48" s="13"/>
      <c r="R48" s="13"/>
      <c r="S48" s="13"/>
      <c r="T48" s="18"/>
      <c r="U48" s="32"/>
      <c r="V48" s="18"/>
      <c r="W48" s="18"/>
      <c r="X48" s="18"/>
      <c r="Y48" s="18"/>
      <c r="Z48" s="18"/>
      <c r="AA48" s="13"/>
      <c r="AB48" s="13"/>
      <c r="AC48" s="13"/>
      <c r="AD48" s="13"/>
      <c r="AE48" s="13"/>
      <c r="AF48" s="13"/>
      <c r="AG48" s="13"/>
      <c r="AH48" s="13"/>
    </row>
    <row r="49" spans="1:34" x14ac:dyDescent="0.25">
      <c r="A49" s="34" t="s">
        <v>277</v>
      </c>
      <c r="B49" s="18"/>
      <c r="C49" s="18"/>
      <c r="D49" s="18"/>
      <c r="E49" s="18"/>
      <c r="F49" s="18"/>
      <c r="G49" s="18"/>
      <c r="H49" s="18"/>
      <c r="I49" s="13"/>
      <c r="J49" s="13"/>
      <c r="K49" s="13"/>
      <c r="L49" s="13"/>
      <c r="M49" s="13">
        <v>100000</v>
      </c>
      <c r="N49" s="13"/>
      <c r="O49" s="13">
        <v>50000</v>
      </c>
      <c r="P49" s="13"/>
      <c r="Q49" s="13"/>
      <c r="R49" s="13"/>
      <c r="S49" s="13"/>
      <c r="T49" s="18"/>
      <c r="U49" s="32"/>
      <c r="V49" s="18"/>
      <c r="W49" s="18"/>
      <c r="X49" s="18"/>
      <c r="Y49" s="18"/>
      <c r="Z49" s="18"/>
      <c r="AA49" s="13"/>
      <c r="AB49" s="13"/>
      <c r="AC49" s="13"/>
      <c r="AD49" s="13"/>
      <c r="AE49" s="13"/>
      <c r="AF49" s="13"/>
      <c r="AG49" s="13"/>
      <c r="AH49" s="13"/>
    </row>
    <row r="50" spans="1:34" x14ac:dyDescent="0.25">
      <c r="A50" s="34" t="s">
        <v>279</v>
      </c>
      <c r="B50" s="18"/>
      <c r="C50" s="18"/>
      <c r="D50" s="18"/>
      <c r="E50" s="18"/>
      <c r="F50" s="18"/>
      <c r="G50" s="18"/>
      <c r="H50" s="18">
        <v>8000</v>
      </c>
      <c r="I50" s="13">
        <v>100000</v>
      </c>
      <c r="J50" s="13"/>
      <c r="K50" s="13"/>
      <c r="L50" s="13"/>
      <c r="M50" s="13"/>
      <c r="N50" s="13"/>
      <c r="O50" s="13"/>
      <c r="P50" s="13"/>
      <c r="Q50" s="13"/>
      <c r="R50" s="13"/>
      <c r="S50" s="13"/>
      <c r="T50" s="18"/>
      <c r="U50" s="32"/>
      <c r="V50" s="18"/>
      <c r="W50" s="18"/>
      <c r="X50" s="18"/>
      <c r="Y50" s="18"/>
      <c r="Z50" s="18"/>
      <c r="AA50" s="13"/>
      <c r="AB50" s="13"/>
      <c r="AC50" s="13"/>
      <c r="AD50" s="13"/>
      <c r="AE50" s="13"/>
      <c r="AF50" s="13"/>
      <c r="AG50" s="13"/>
      <c r="AH50" s="13"/>
    </row>
    <row r="51" spans="1:34" x14ac:dyDescent="0.25">
      <c r="A51" s="75" t="s">
        <v>113</v>
      </c>
      <c r="B51" s="18">
        <v>243200</v>
      </c>
      <c r="C51" s="18">
        <v>166400</v>
      </c>
      <c r="D51" s="18">
        <v>250000</v>
      </c>
      <c r="E51" s="18"/>
      <c r="F51" s="18">
        <v>300800</v>
      </c>
      <c r="G51" s="18">
        <v>300000</v>
      </c>
      <c r="H51" s="18"/>
      <c r="I51" s="13">
        <v>332800</v>
      </c>
      <c r="J51" s="13">
        <v>326000</v>
      </c>
      <c r="K51" s="13"/>
      <c r="L51" s="13">
        <v>403200</v>
      </c>
      <c r="M51" s="13">
        <v>460800</v>
      </c>
      <c r="N51" s="13">
        <v>448000</v>
      </c>
      <c r="O51" s="13">
        <v>422400</v>
      </c>
      <c r="P51" s="13">
        <v>402600</v>
      </c>
      <c r="Q51" s="13">
        <v>448000</v>
      </c>
      <c r="R51" s="13"/>
      <c r="S51" s="13">
        <v>691200</v>
      </c>
      <c r="T51" s="18">
        <v>556800</v>
      </c>
      <c r="U51" s="32"/>
      <c r="V51" s="18"/>
      <c r="W51" s="18"/>
      <c r="X51" s="18"/>
      <c r="Y51" s="18"/>
      <c r="Z51" s="18"/>
      <c r="AA51" s="13"/>
      <c r="AB51" s="13"/>
      <c r="AC51" s="13"/>
      <c r="AD51" s="13"/>
      <c r="AE51" s="13"/>
      <c r="AF51" s="13">
        <v>742400</v>
      </c>
      <c r="AG51" s="13">
        <v>896000</v>
      </c>
      <c r="AH51" s="13">
        <v>1120000</v>
      </c>
    </row>
    <row r="52" spans="1:34" x14ac:dyDescent="0.25">
      <c r="A52" s="34" t="s">
        <v>913</v>
      </c>
      <c r="B52" s="18"/>
      <c r="C52" s="18"/>
      <c r="D52" s="18"/>
      <c r="E52" s="18"/>
      <c r="F52" s="18"/>
      <c r="G52" s="18"/>
      <c r="H52" s="18"/>
      <c r="I52" s="13"/>
      <c r="J52" s="13">
        <v>235000</v>
      </c>
      <c r="K52" s="13"/>
      <c r="L52" s="13">
        <v>139000</v>
      </c>
      <c r="M52" s="13">
        <v>276000</v>
      </c>
      <c r="N52" s="13">
        <v>168000</v>
      </c>
      <c r="O52" s="13"/>
      <c r="P52" s="13">
        <v>176000</v>
      </c>
      <c r="Q52" s="13"/>
      <c r="R52" s="13"/>
      <c r="S52" s="13"/>
      <c r="T52" s="18"/>
      <c r="U52" s="32"/>
      <c r="V52" s="18"/>
      <c r="W52" s="18"/>
      <c r="X52" s="18"/>
      <c r="Y52" s="18"/>
      <c r="Z52" s="18"/>
      <c r="AA52" s="13"/>
      <c r="AB52" s="13"/>
      <c r="AC52" s="13"/>
      <c r="AD52" s="13"/>
      <c r="AE52" s="13"/>
      <c r="AF52" s="13"/>
      <c r="AG52" s="13"/>
      <c r="AH52" s="13"/>
    </row>
    <row r="53" spans="1:34" x14ac:dyDescent="0.25">
      <c r="A53" s="34" t="s">
        <v>432</v>
      </c>
      <c r="B53" s="18"/>
      <c r="C53" s="18"/>
      <c r="D53" s="18"/>
      <c r="E53" s="18"/>
      <c r="F53" s="18"/>
      <c r="G53" s="18"/>
      <c r="H53" s="18"/>
      <c r="I53" s="13"/>
      <c r="J53" s="13"/>
      <c r="K53" s="13"/>
      <c r="L53" s="13"/>
      <c r="M53" s="13"/>
      <c r="N53" s="13"/>
      <c r="O53" s="13"/>
      <c r="P53" s="13">
        <v>24000</v>
      </c>
      <c r="Q53" s="13"/>
      <c r="R53" s="13"/>
      <c r="S53" s="13"/>
      <c r="T53" s="18"/>
      <c r="U53" s="32"/>
      <c r="V53" s="18"/>
      <c r="W53" s="18"/>
      <c r="X53" s="18"/>
      <c r="Y53" s="18"/>
      <c r="Z53" s="18"/>
      <c r="AA53" s="13"/>
      <c r="AB53" s="13"/>
      <c r="AC53" s="13"/>
      <c r="AD53" s="13"/>
      <c r="AE53" s="13"/>
      <c r="AF53" s="13"/>
      <c r="AG53" s="13"/>
      <c r="AH53" s="13"/>
    </row>
    <row r="54" spans="1:34" x14ac:dyDescent="0.25">
      <c r="A54" s="34" t="s">
        <v>286</v>
      </c>
      <c r="B54" s="18"/>
      <c r="C54" s="18"/>
      <c r="D54" s="18"/>
      <c r="E54" s="18"/>
      <c r="F54" s="18"/>
      <c r="G54" s="18"/>
      <c r="H54" s="18"/>
      <c r="I54" s="13"/>
      <c r="J54" s="13"/>
      <c r="K54" s="13"/>
      <c r="L54" s="13">
        <v>5000</v>
      </c>
      <c r="M54" s="13"/>
      <c r="N54" s="13">
        <v>5000</v>
      </c>
      <c r="O54" s="13"/>
      <c r="P54" s="13">
        <v>20000</v>
      </c>
      <c r="Q54" s="13"/>
      <c r="R54" s="13">
        <v>30000</v>
      </c>
      <c r="S54" s="13"/>
      <c r="T54" s="18"/>
      <c r="U54" s="32"/>
      <c r="V54" s="18"/>
      <c r="W54" s="18"/>
      <c r="X54" s="18"/>
      <c r="Y54" s="18"/>
      <c r="Z54" s="18"/>
      <c r="AA54" s="13"/>
      <c r="AB54" s="13"/>
      <c r="AC54" s="13"/>
      <c r="AD54" s="13"/>
      <c r="AE54" s="13"/>
      <c r="AF54" s="13">
        <v>120000</v>
      </c>
      <c r="AG54" s="13">
        <v>120000</v>
      </c>
      <c r="AH54" s="13">
        <v>120000</v>
      </c>
    </row>
    <row r="55" spans="1:34" x14ac:dyDescent="0.25">
      <c r="A55" s="35" t="s">
        <v>283</v>
      </c>
      <c r="B55" s="18"/>
      <c r="C55" s="18"/>
      <c r="D55" s="18"/>
      <c r="E55" s="18"/>
      <c r="F55" s="18"/>
      <c r="G55" s="18"/>
      <c r="H55" s="18"/>
      <c r="I55" s="13">
        <v>248000</v>
      </c>
      <c r="J55" s="13">
        <v>184250</v>
      </c>
      <c r="K55" s="13"/>
      <c r="L55" s="13">
        <v>222000</v>
      </c>
      <c r="M55" s="13"/>
      <c r="N55" s="13">
        <v>251000</v>
      </c>
      <c r="O55" s="13">
        <v>317000</v>
      </c>
      <c r="P55" s="13"/>
      <c r="Q55" s="13"/>
      <c r="R55" s="13"/>
      <c r="S55" s="13"/>
      <c r="T55" s="18"/>
      <c r="U55" s="32"/>
      <c r="V55" s="18"/>
      <c r="W55" s="18"/>
      <c r="X55" s="18"/>
      <c r="Y55" s="18"/>
      <c r="Z55" s="18"/>
      <c r="AA55" s="13"/>
      <c r="AB55" s="13"/>
      <c r="AC55" s="13"/>
      <c r="AD55" s="13"/>
      <c r="AE55" s="13"/>
      <c r="AF55" s="13"/>
      <c r="AG55" s="13"/>
      <c r="AH55" s="13"/>
    </row>
    <row r="56" spans="1:34" x14ac:dyDescent="0.25">
      <c r="A56" s="34" t="s">
        <v>280</v>
      </c>
      <c r="B56" s="18"/>
      <c r="C56" s="18"/>
      <c r="D56" s="18"/>
      <c r="E56" s="18"/>
      <c r="F56" s="18"/>
      <c r="G56" s="18"/>
      <c r="H56" s="18"/>
      <c r="I56" s="13">
        <v>368500</v>
      </c>
      <c r="J56" s="13">
        <v>432000</v>
      </c>
      <c r="K56" s="13"/>
      <c r="L56" s="13">
        <v>321000</v>
      </c>
      <c r="M56" s="13"/>
      <c r="N56" s="13"/>
      <c r="O56" s="13"/>
      <c r="P56" s="13"/>
      <c r="Q56" s="13"/>
      <c r="R56" s="13"/>
      <c r="S56" s="13"/>
      <c r="T56" s="18"/>
      <c r="U56" s="32"/>
      <c r="V56" s="18"/>
      <c r="W56" s="18"/>
      <c r="X56" s="18"/>
      <c r="Y56" s="18"/>
      <c r="Z56" s="18"/>
      <c r="AA56" s="13"/>
      <c r="AB56" s="13"/>
      <c r="AC56" s="13"/>
      <c r="AD56" s="13"/>
      <c r="AE56" s="13"/>
      <c r="AF56" s="13"/>
      <c r="AG56" s="13"/>
      <c r="AH56" s="13"/>
    </row>
    <row r="57" spans="1:34" x14ac:dyDescent="0.25">
      <c r="A57" s="34" t="s">
        <v>281</v>
      </c>
      <c r="B57" s="18"/>
      <c r="C57" s="18"/>
      <c r="D57" s="18"/>
      <c r="E57" s="18"/>
      <c r="F57" s="18"/>
      <c r="G57" s="18"/>
      <c r="H57" s="18"/>
      <c r="I57" s="13"/>
      <c r="J57" s="13"/>
      <c r="K57" s="13"/>
      <c r="L57" s="13"/>
      <c r="M57" s="13"/>
      <c r="N57" s="13"/>
      <c r="O57" s="13"/>
      <c r="P57" s="13"/>
      <c r="Q57" s="13"/>
      <c r="R57" s="13"/>
      <c r="S57" s="13"/>
      <c r="T57" s="18"/>
      <c r="U57" s="32"/>
      <c r="V57" s="18"/>
      <c r="W57" s="18"/>
      <c r="X57" s="18"/>
      <c r="Y57" s="18"/>
      <c r="Z57" s="18"/>
      <c r="AA57" s="13"/>
      <c r="AB57" s="13"/>
      <c r="AC57" s="13"/>
      <c r="AD57" s="13">
        <v>4000000</v>
      </c>
      <c r="AE57" s="13">
        <v>4124835</v>
      </c>
      <c r="AF57" s="13">
        <v>3954105</v>
      </c>
      <c r="AG57" s="13">
        <v>4200714</v>
      </c>
      <c r="AH57" s="13">
        <v>6225272</v>
      </c>
    </row>
    <row r="58" spans="1:34" x14ac:dyDescent="0.25">
      <c r="A58" s="34" t="s">
        <v>271</v>
      </c>
      <c r="B58" s="18"/>
      <c r="C58" s="18"/>
      <c r="D58" s="18"/>
      <c r="E58" s="18"/>
      <c r="F58" s="18"/>
      <c r="G58" s="18"/>
      <c r="H58" s="18"/>
      <c r="I58" s="13"/>
      <c r="J58" s="13"/>
      <c r="K58" s="13"/>
      <c r="L58" s="13"/>
      <c r="M58" s="13"/>
      <c r="N58" s="13"/>
      <c r="O58" s="13"/>
      <c r="P58" s="13">
        <v>10000</v>
      </c>
      <c r="Q58" s="13"/>
      <c r="R58" s="13"/>
      <c r="S58" s="13"/>
      <c r="T58" s="18"/>
      <c r="U58" s="32"/>
      <c r="V58" s="18"/>
      <c r="W58" s="18"/>
      <c r="X58" s="18"/>
      <c r="Y58" s="18"/>
      <c r="Z58" s="18"/>
      <c r="AA58" s="13"/>
      <c r="AB58" s="13"/>
      <c r="AC58" s="13"/>
      <c r="AD58" s="13"/>
      <c r="AE58" s="13"/>
      <c r="AF58" s="13"/>
      <c r="AG58" s="13"/>
      <c r="AH58" s="13"/>
    </row>
    <row r="59" spans="1:34" x14ac:dyDescent="0.25">
      <c r="A59" s="35" t="s">
        <v>282</v>
      </c>
      <c r="B59" s="18"/>
      <c r="C59" s="18">
        <v>8000</v>
      </c>
      <c r="D59" s="18">
        <v>50000</v>
      </c>
      <c r="E59" s="18"/>
      <c r="F59" s="18">
        <v>12000</v>
      </c>
      <c r="G59" s="18">
        <v>12000</v>
      </c>
      <c r="H59" s="18"/>
      <c r="I59" s="13">
        <v>94400</v>
      </c>
      <c r="J59" s="13">
        <v>83200</v>
      </c>
      <c r="K59" s="13"/>
      <c r="L59" s="13">
        <v>146200</v>
      </c>
      <c r="M59" s="13"/>
      <c r="N59" s="13">
        <v>140000</v>
      </c>
      <c r="O59" s="13">
        <v>139200</v>
      </c>
      <c r="P59" s="13"/>
      <c r="Q59" s="13"/>
      <c r="R59" s="13"/>
      <c r="S59" s="13"/>
      <c r="T59" s="18"/>
      <c r="U59" s="32"/>
      <c r="V59" s="18"/>
      <c r="W59" s="18"/>
      <c r="X59" s="18"/>
      <c r="Y59" s="18"/>
      <c r="Z59" s="18"/>
      <c r="AA59" s="13"/>
      <c r="AB59" s="13"/>
      <c r="AC59" s="13"/>
      <c r="AD59" s="13"/>
      <c r="AE59" s="13"/>
      <c r="AF59" s="13"/>
      <c r="AG59" s="13"/>
      <c r="AH59" s="13"/>
    </row>
    <row r="60" spans="1:34" x14ac:dyDescent="0.25">
      <c r="A60" s="35" t="s">
        <v>914</v>
      </c>
      <c r="B60" s="18"/>
      <c r="C60" s="18"/>
      <c r="D60" s="18"/>
      <c r="E60" s="18"/>
      <c r="F60" s="18"/>
      <c r="G60" s="18"/>
      <c r="H60" s="18"/>
      <c r="I60" s="13"/>
      <c r="J60" s="13"/>
      <c r="K60" s="13"/>
      <c r="L60" s="13"/>
      <c r="M60" s="13">
        <v>304150</v>
      </c>
      <c r="N60" s="13"/>
      <c r="O60" s="13"/>
      <c r="P60" s="13">
        <v>458700</v>
      </c>
      <c r="Q60" s="13">
        <v>338150</v>
      </c>
      <c r="R60" s="13">
        <v>469230</v>
      </c>
      <c r="S60" s="13">
        <v>332900</v>
      </c>
      <c r="T60" s="18">
        <v>499050</v>
      </c>
      <c r="U60" s="32"/>
      <c r="V60" s="18">
        <v>710100</v>
      </c>
      <c r="W60" s="18">
        <v>700000</v>
      </c>
      <c r="X60" s="18">
        <v>890300</v>
      </c>
      <c r="Y60" s="18">
        <v>914700</v>
      </c>
      <c r="Z60" s="18">
        <v>987700</v>
      </c>
      <c r="AA60" s="13">
        <v>1040300</v>
      </c>
      <c r="AB60" s="13">
        <v>1134600</v>
      </c>
      <c r="AC60" s="13">
        <v>1447500</v>
      </c>
      <c r="AD60" s="13">
        <v>1500000</v>
      </c>
      <c r="AE60" s="13">
        <v>1660950</v>
      </c>
      <c r="AF60" s="13">
        <v>2537750</v>
      </c>
      <c r="AG60" s="13">
        <v>2397900</v>
      </c>
      <c r="AH60" s="13">
        <v>2461100</v>
      </c>
    </row>
    <row r="61" spans="1:34" x14ac:dyDescent="0.25">
      <c r="A61" s="35" t="s">
        <v>261</v>
      </c>
      <c r="B61" s="18">
        <v>24600</v>
      </c>
      <c r="C61" s="18"/>
      <c r="D61" s="18"/>
      <c r="E61" s="18"/>
      <c r="F61" s="18"/>
      <c r="G61" s="18"/>
      <c r="H61" s="18"/>
      <c r="I61" s="13"/>
      <c r="J61" s="13"/>
      <c r="K61" s="13"/>
      <c r="L61" s="13"/>
      <c r="M61" s="13"/>
      <c r="N61" s="13"/>
      <c r="O61" s="13"/>
      <c r="P61" s="13"/>
      <c r="Q61" s="13"/>
      <c r="R61" s="13"/>
      <c r="S61" s="13"/>
      <c r="T61" s="18"/>
      <c r="U61" s="32"/>
      <c r="V61" s="18"/>
      <c r="W61" s="18"/>
      <c r="X61" s="18"/>
      <c r="Y61" s="18"/>
      <c r="Z61" s="18"/>
      <c r="AA61" s="13"/>
      <c r="AB61" s="13"/>
      <c r="AC61" s="13"/>
      <c r="AD61" s="13"/>
      <c r="AE61" s="13"/>
      <c r="AF61" s="13"/>
      <c r="AG61" s="13"/>
      <c r="AH61" s="13"/>
    </row>
    <row r="62" spans="1:34" ht="30" x14ac:dyDescent="0.25">
      <c r="A62" s="34" t="s">
        <v>290</v>
      </c>
      <c r="B62" s="18"/>
      <c r="C62" s="18"/>
      <c r="D62" s="18"/>
      <c r="E62" s="18"/>
      <c r="F62" s="18"/>
      <c r="G62" s="18"/>
      <c r="H62" s="18"/>
      <c r="I62" s="13"/>
      <c r="J62" s="13"/>
      <c r="K62" s="13"/>
      <c r="L62" s="13"/>
      <c r="M62" s="13"/>
      <c r="N62" s="13"/>
      <c r="O62" s="13"/>
      <c r="P62" s="13"/>
      <c r="Q62" s="13"/>
      <c r="R62" s="13"/>
      <c r="S62" s="13"/>
      <c r="T62" s="18"/>
      <c r="U62" s="32"/>
      <c r="V62" s="18"/>
      <c r="W62" s="18"/>
      <c r="X62" s="18"/>
      <c r="Y62" s="18"/>
      <c r="Z62" s="18"/>
      <c r="AA62" s="13"/>
      <c r="AB62" s="13"/>
      <c r="AC62" s="13"/>
      <c r="AD62" s="13"/>
      <c r="AE62" s="13"/>
      <c r="AF62" s="13">
        <v>423000</v>
      </c>
      <c r="AG62" s="13"/>
      <c r="AH62" s="13"/>
    </row>
    <row r="63" spans="1:34" x14ac:dyDescent="0.25">
      <c r="A63" s="34" t="s">
        <v>289</v>
      </c>
      <c r="B63" s="18"/>
      <c r="C63" s="18"/>
      <c r="D63" s="18"/>
      <c r="E63" s="18"/>
      <c r="F63" s="18"/>
      <c r="G63" s="18"/>
      <c r="H63" s="18"/>
      <c r="I63" s="13"/>
      <c r="J63" s="13"/>
      <c r="K63" s="13"/>
      <c r="L63" s="13"/>
      <c r="M63" s="13"/>
      <c r="N63" s="13"/>
      <c r="O63" s="13"/>
      <c r="P63" s="13"/>
      <c r="Q63" s="13"/>
      <c r="R63" s="13"/>
      <c r="S63" s="13"/>
      <c r="T63" s="18"/>
      <c r="U63" s="32"/>
      <c r="V63" s="18"/>
      <c r="W63" s="18"/>
      <c r="X63" s="18"/>
      <c r="Y63" s="18"/>
      <c r="Z63" s="18"/>
      <c r="AA63" s="13"/>
      <c r="AB63" s="13"/>
      <c r="AC63" s="13"/>
      <c r="AD63" s="13"/>
      <c r="AE63" s="13"/>
      <c r="AF63" s="13">
        <v>10641000</v>
      </c>
      <c r="AG63" s="13">
        <v>6820980</v>
      </c>
      <c r="AH63" s="13">
        <v>486000</v>
      </c>
    </row>
    <row r="64" spans="1:34" x14ac:dyDescent="0.25">
      <c r="A64" s="34" t="s">
        <v>291</v>
      </c>
      <c r="B64" s="18"/>
      <c r="C64" s="18"/>
      <c r="D64" s="18"/>
      <c r="E64" s="18"/>
      <c r="F64" s="18"/>
      <c r="G64" s="18"/>
      <c r="H64" s="18"/>
      <c r="I64" s="13"/>
      <c r="J64" s="13"/>
      <c r="K64" s="13"/>
      <c r="L64" s="13"/>
      <c r="M64" s="13"/>
      <c r="N64" s="13"/>
      <c r="O64" s="13"/>
      <c r="P64" s="13"/>
      <c r="Q64" s="13"/>
      <c r="R64" s="13"/>
      <c r="S64" s="13"/>
      <c r="T64" s="18"/>
      <c r="U64" s="32"/>
      <c r="V64" s="18"/>
      <c r="W64" s="18"/>
      <c r="X64" s="18"/>
      <c r="Y64" s="18"/>
      <c r="Z64" s="18"/>
      <c r="AA64" s="13"/>
      <c r="AB64" s="13"/>
      <c r="AC64" s="13"/>
      <c r="AD64" s="13"/>
      <c r="AE64" s="13"/>
      <c r="AF64" s="13"/>
      <c r="AG64" s="13">
        <v>1098870</v>
      </c>
      <c r="AH64" s="13">
        <v>2473310</v>
      </c>
    </row>
    <row r="65" spans="1:34" x14ac:dyDescent="0.25">
      <c r="A65" s="35" t="s">
        <v>285</v>
      </c>
      <c r="B65" s="18"/>
      <c r="C65" s="18"/>
      <c r="D65" s="18"/>
      <c r="E65" s="18"/>
      <c r="F65" s="18"/>
      <c r="G65" s="18"/>
      <c r="H65" s="18"/>
      <c r="I65" s="13">
        <v>102000</v>
      </c>
      <c r="J65" s="13">
        <v>36000</v>
      </c>
      <c r="K65" s="13"/>
      <c r="L65" s="13"/>
      <c r="M65" s="13"/>
      <c r="N65" s="13"/>
      <c r="O65" s="13"/>
      <c r="P65" s="13"/>
      <c r="Q65" s="13"/>
      <c r="R65" s="13"/>
      <c r="S65" s="13"/>
      <c r="T65" s="18"/>
      <c r="U65" s="32"/>
      <c r="V65" s="18"/>
      <c r="W65" s="18"/>
      <c r="X65" s="18"/>
      <c r="Y65" s="18"/>
      <c r="Z65" s="18"/>
      <c r="AA65" s="13"/>
      <c r="AB65" s="13"/>
      <c r="AC65" s="13"/>
      <c r="AD65" s="13"/>
      <c r="AE65" s="13"/>
      <c r="AF65" s="13"/>
      <c r="AG65" s="13"/>
      <c r="AH65" s="13"/>
    </row>
    <row r="66" spans="1:34" x14ac:dyDescent="0.25">
      <c r="A66" s="34" t="s">
        <v>284</v>
      </c>
      <c r="B66" s="18"/>
      <c r="C66" s="18"/>
      <c r="D66" s="18"/>
      <c r="E66" s="18"/>
      <c r="F66" s="18"/>
      <c r="G66" s="18"/>
      <c r="H66" s="18"/>
      <c r="I66" s="13"/>
      <c r="J66" s="13"/>
      <c r="K66" s="13"/>
      <c r="L66" s="13"/>
      <c r="M66" s="13"/>
      <c r="N66" s="13"/>
      <c r="O66" s="13"/>
      <c r="P66" s="13"/>
      <c r="Q66" s="13"/>
      <c r="R66" s="13"/>
      <c r="S66" s="13">
        <v>75000</v>
      </c>
      <c r="T66" s="18">
        <v>100000</v>
      </c>
      <c r="U66" s="32"/>
      <c r="V66" s="18">
        <v>110000</v>
      </c>
      <c r="W66" s="18">
        <v>100000</v>
      </c>
      <c r="X66" s="18">
        <v>130000</v>
      </c>
      <c r="Y66" s="18">
        <v>60000</v>
      </c>
      <c r="Z66" s="18">
        <v>60000</v>
      </c>
      <c r="AA66" s="13">
        <v>90000</v>
      </c>
      <c r="AB66" s="13">
        <v>293500</v>
      </c>
      <c r="AC66" s="13">
        <v>213000</v>
      </c>
      <c r="AD66" s="13">
        <v>300000</v>
      </c>
      <c r="AE66" s="13">
        <v>297500</v>
      </c>
      <c r="AF66" s="13"/>
      <c r="AG66" s="13"/>
      <c r="AH66" s="13"/>
    </row>
    <row r="67" spans="1:34" x14ac:dyDescent="0.25">
      <c r="A67" s="34" t="s">
        <v>288</v>
      </c>
      <c r="B67" s="18"/>
      <c r="C67" s="18"/>
      <c r="D67" s="18"/>
      <c r="E67" s="18"/>
      <c r="F67" s="18"/>
      <c r="G67" s="18"/>
      <c r="H67" s="18"/>
      <c r="I67" s="13"/>
      <c r="J67" s="13"/>
      <c r="K67" s="13"/>
      <c r="L67" s="13"/>
      <c r="M67" s="13"/>
      <c r="N67" s="13"/>
      <c r="O67" s="13"/>
      <c r="P67" s="13"/>
      <c r="Q67" s="13"/>
      <c r="R67" s="13">
        <v>30000</v>
      </c>
      <c r="S67" s="13"/>
      <c r="T67" s="18"/>
      <c r="U67" s="32"/>
      <c r="V67" s="18"/>
      <c r="W67" s="18"/>
      <c r="X67" s="18"/>
      <c r="Y67" s="18"/>
      <c r="Z67" s="18"/>
      <c r="AA67" s="13"/>
      <c r="AB67" s="13">
        <v>35000</v>
      </c>
      <c r="AC67" s="13">
        <v>45000</v>
      </c>
      <c r="AD67" s="13">
        <v>100000</v>
      </c>
      <c r="AE67" s="13">
        <v>5000</v>
      </c>
      <c r="AF67" s="13"/>
      <c r="AG67" s="13"/>
      <c r="AH67" s="13"/>
    </row>
    <row r="68" spans="1:34" x14ac:dyDescent="0.25">
      <c r="A68" s="34"/>
      <c r="B68" s="18"/>
      <c r="C68" s="18"/>
      <c r="D68" s="18"/>
      <c r="E68" s="18"/>
      <c r="F68" s="18"/>
      <c r="G68" s="18"/>
      <c r="H68" s="18"/>
      <c r="I68" s="13"/>
      <c r="J68" s="13"/>
      <c r="K68" s="13"/>
      <c r="L68" s="13"/>
      <c r="M68" s="13"/>
      <c r="N68" s="13"/>
      <c r="O68" s="13"/>
      <c r="P68" s="13"/>
      <c r="Q68" s="13"/>
      <c r="R68" s="13"/>
      <c r="S68" s="13"/>
      <c r="T68" s="18"/>
      <c r="U68" s="32"/>
      <c r="V68" s="18"/>
      <c r="W68" s="18"/>
      <c r="X68" s="18"/>
      <c r="Y68" s="18"/>
      <c r="Z68" s="18"/>
      <c r="AA68" s="13"/>
      <c r="AB68" s="13"/>
      <c r="AC68" s="13"/>
      <c r="AD68" s="13"/>
      <c r="AE68" s="13"/>
      <c r="AF68" s="13"/>
      <c r="AG68" s="13"/>
      <c r="AH68" s="13"/>
    </row>
    <row r="69" spans="1:34" x14ac:dyDescent="0.25">
      <c r="A69" s="34" t="s">
        <v>292</v>
      </c>
      <c r="B69" s="18"/>
      <c r="C69" s="18">
        <v>100000</v>
      </c>
      <c r="D69" s="18">
        <f>100000+87920</f>
        <v>187920</v>
      </c>
      <c r="E69" s="18"/>
      <c r="F69" s="18">
        <f>120000+100000</f>
        <v>220000</v>
      </c>
      <c r="G69" s="18">
        <v>150000</v>
      </c>
      <c r="H69" s="18">
        <f>60000+1000+2000</f>
        <v>63000</v>
      </c>
      <c r="I69" s="13">
        <v>169050</v>
      </c>
      <c r="J69" s="13">
        <v>72000</v>
      </c>
      <c r="K69" s="13"/>
      <c r="L69" s="13">
        <v>90000</v>
      </c>
      <c r="M69" s="13">
        <v>581500</v>
      </c>
      <c r="N69" s="13">
        <v>607000</v>
      </c>
      <c r="O69" s="13">
        <v>413000</v>
      </c>
      <c r="P69" s="13">
        <v>297000</v>
      </c>
      <c r="Q69" s="13">
        <v>983000</v>
      </c>
      <c r="R69" s="13">
        <v>1108060</v>
      </c>
      <c r="S69" s="13">
        <v>538000</v>
      </c>
      <c r="T69" s="18">
        <v>478000</v>
      </c>
      <c r="U69" s="32"/>
      <c r="V69" s="18">
        <v>557742</v>
      </c>
      <c r="W69" s="18">
        <v>985100</v>
      </c>
      <c r="X69" s="18">
        <v>1626000</v>
      </c>
      <c r="Y69" s="18">
        <v>1567000</v>
      </c>
      <c r="Z69" s="18">
        <v>967000</v>
      </c>
      <c r="AA69" s="13">
        <v>300000</v>
      </c>
      <c r="AB69" s="13">
        <v>738400</v>
      </c>
      <c r="AC69" s="13">
        <v>853020</v>
      </c>
      <c r="AD69" s="13">
        <v>1000000</v>
      </c>
      <c r="AE69" s="13">
        <v>982500</v>
      </c>
      <c r="AF69" s="13">
        <v>1049600</v>
      </c>
      <c r="AG69" s="13">
        <v>571500</v>
      </c>
      <c r="AH69" s="13">
        <v>1100000</v>
      </c>
    </row>
    <row r="70" spans="1:34" x14ac:dyDescent="0.25">
      <c r="A70" s="34"/>
      <c r="B70" s="18"/>
      <c r="C70" s="18"/>
      <c r="D70" s="18"/>
      <c r="E70" s="18"/>
      <c r="F70" s="18"/>
      <c r="G70" s="18"/>
      <c r="H70" s="18"/>
      <c r="I70" s="13"/>
      <c r="J70" s="13"/>
      <c r="K70" s="13"/>
      <c r="L70" s="13"/>
      <c r="M70" s="13"/>
      <c r="N70" s="13"/>
      <c r="O70" s="13"/>
      <c r="P70" s="13"/>
      <c r="Q70" s="13"/>
      <c r="R70" s="13"/>
      <c r="S70" s="13"/>
      <c r="T70" s="18"/>
      <c r="U70" s="32"/>
      <c r="V70" s="18"/>
      <c r="W70" s="18"/>
      <c r="X70" s="18"/>
      <c r="Y70" s="18"/>
      <c r="Z70" s="18"/>
      <c r="AA70" s="13"/>
      <c r="AB70" s="13"/>
      <c r="AC70" s="13"/>
      <c r="AD70" s="13"/>
      <c r="AE70" s="13"/>
      <c r="AF70" s="13"/>
      <c r="AG70" s="13"/>
      <c r="AH70" s="13"/>
    </row>
    <row r="71" spans="1:34" x14ac:dyDescent="0.25">
      <c r="A71" s="34" t="s">
        <v>930</v>
      </c>
      <c r="B71" s="18"/>
      <c r="C71" s="18"/>
      <c r="D71" s="18"/>
      <c r="E71" s="18"/>
      <c r="F71" s="18"/>
      <c r="G71" s="18"/>
      <c r="H71" s="18"/>
      <c r="I71" s="13">
        <v>62800</v>
      </c>
      <c r="J71" s="13">
        <v>51860</v>
      </c>
      <c r="K71" s="13"/>
      <c r="L71" s="13"/>
      <c r="M71" s="13"/>
      <c r="N71" s="13"/>
      <c r="O71" s="13"/>
      <c r="P71" s="13"/>
      <c r="Q71" s="13"/>
      <c r="R71" s="13"/>
      <c r="S71" s="13"/>
      <c r="T71" s="18"/>
      <c r="U71" s="32"/>
      <c r="V71" s="18"/>
      <c r="W71" s="18"/>
      <c r="X71" s="18"/>
      <c r="Y71" s="18"/>
      <c r="Z71" s="18"/>
      <c r="AA71" s="13">
        <v>135000</v>
      </c>
      <c r="AB71" s="13">
        <v>135000</v>
      </c>
      <c r="AC71" s="13">
        <v>120000</v>
      </c>
      <c r="AD71" s="13">
        <v>180000</v>
      </c>
      <c r="AE71" s="13">
        <v>240500</v>
      </c>
      <c r="AF71" s="13">
        <v>229315</v>
      </c>
      <c r="AG71" s="13">
        <v>279900</v>
      </c>
      <c r="AH71" s="13">
        <v>25500</v>
      </c>
    </row>
    <row r="72" spans="1:34" x14ac:dyDescent="0.25">
      <c r="A72" s="34" t="s">
        <v>990</v>
      </c>
      <c r="B72" s="18"/>
      <c r="C72" s="18"/>
      <c r="D72" s="18"/>
      <c r="E72" s="18"/>
      <c r="F72" s="18"/>
      <c r="G72" s="18"/>
      <c r="H72" s="18"/>
      <c r="I72" s="13"/>
      <c r="J72" s="13"/>
      <c r="K72" s="13"/>
      <c r="L72" s="13"/>
      <c r="M72" s="13"/>
      <c r="N72" s="13"/>
      <c r="O72" s="13"/>
      <c r="P72" s="13"/>
      <c r="Q72" s="13"/>
      <c r="R72" s="13"/>
      <c r="S72" s="13"/>
      <c r="T72" s="18"/>
      <c r="U72" s="32"/>
      <c r="V72" s="18"/>
      <c r="W72" s="18"/>
      <c r="X72" s="18"/>
      <c r="Y72" s="18"/>
      <c r="Z72" s="18">
        <v>1679000</v>
      </c>
      <c r="AA72" s="13">
        <v>3563000</v>
      </c>
      <c r="AB72" s="13">
        <v>3208000</v>
      </c>
      <c r="AC72" s="13">
        <v>3466000</v>
      </c>
      <c r="AD72" s="13">
        <v>3500000</v>
      </c>
      <c r="AE72" s="13">
        <v>4136000</v>
      </c>
      <c r="AF72" s="13">
        <v>6806300</v>
      </c>
      <c r="AG72" s="13">
        <v>5303000</v>
      </c>
      <c r="AH72" s="13">
        <v>7251000</v>
      </c>
    </row>
    <row r="73" spans="1:34" x14ac:dyDescent="0.25">
      <c r="A73" s="34" t="s">
        <v>935</v>
      </c>
      <c r="B73" s="18"/>
      <c r="C73" s="18"/>
      <c r="D73" s="18"/>
      <c r="E73" s="18"/>
      <c r="F73" s="18"/>
      <c r="G73" s="18"/>
      <c r="H73" s="18"/>
      <c r="I73" s="13"/>
      <c r="J73" s="13"/>
      <c r="K73" s="13"/>
      <c r="L73" s="13"/>
      <c r="M73" s="13"/>
      <c r="N73" s="13"/>
      <c r="O73" s="13"/>
      <c r="P73" s="13"/>
      <c r="Q73" s="13">
        <v>476480</v>
      </c>
      <c r="R73" s="13">
        <v>475100</v>
      </c>
      <c r="S73" s="13">
        <v>518080</v>
      </c>
      <c r="T73" s="18">
        <v>570520</v>
      </c>
      <c r="U73" s="32"/>
      <c r="V73" s="18">
        <v>424900</v>
      </c>
      <c r="W73" s="18">
        <v>429900</v>
      </c>
      <c r="X73" s="18">
        <v>447280</v>
      </c>
      <c r="Y73" s="18">
        <v>430960</v>
      </c>
      <c r="Z73" s="18">
        <v>390400</v>
      </c>
      <c r="AA73" s="13">
        <v>359420</v>
      </c>
      <c r="AB73" s="13">
        <v>1025420</v>
      </c>
      <c r="AC73" s="13">
        <v>426240</v>
      </c>
      <c r="AD73" s="13">
        <v>1000000</v>
      </c>
      <c r="AE73" s="13">
        <v>1136780</v>
      </c>
      <c r="AF73" s="13">
        <v>1223600</v>
      </c>
      <c r="AG73" s="13">
        <v>1181960</v>
      </c>
      <c r="AH73" s="13">
        <v>1634920</v>
      </c>
    </row>
    <row r="74" spans="1:34" x14ac:dyDescent="0.25">
      <c r="A74" s="34" t="s">
        <v>931</v>
      </c>
      <c r="B74" s="18"/>
      <c r="C74" s="18"/>
      <c r="D74" s="18"/>
      <c r="E74" s="18"/>
      <c r="F74" s="18"/>
      <c r="G74" s="18"/>
      <c r="H74" s="18"/>
      <c r="I74" s="13"/>
      <c r="J74" s="13"/>
      <c r="K74" s="13"/>
      <c r="L74" s="13"/>
      <c r="M74" s="13"/>
      <c r="N74" s="13"/>
      <c r="O74" s="13"/>
      <c r="P74" s="13"/>
      <c r="Q74" s="13"/>
      <c r="R74" s="13"/>
      <c r="S74" s="13"/>
      <c r="T74" s="18"/>
      <c r="U74" s="32"/>
      <c r="V74" s="18"/>
      <c r="W74" s="18"/>
      <c r="X74" s="18"/>
      <c r="Y74" s="18">
        <v>150000</v>
      </c>
      <c r="Z74" s="18"/>
      <c r="AA74" s="13"/>
      <c r="AB74" s="13"/>
      <c r="AC74" s="13"/>
      <c r="AD74" s="13"/>
      <c r="AE74" s="13"/>
      <c r="AF74" s="13"/>
      <c r="AG74" s="13"/>
      <c r="AH74" s="13"/>
    </row>
    <row r="75" spans="1:34" x14ac:dyDescent="0.25">
      <c r="A75" s="153" t="s">
        <v>932</v>
      </c>
      <c r="B75" s="18"/>
      <c r="C75" s="18"/>
      <c r="D75" s="18"/>
      <c r="E75" s="18"/>
      <c r="F75" s="18"/>
      <c r="G75" s="18"/>
      <c r="H75" s="18"/>
      <c r="I75" s="13"/>
      <c r="J75" s="13"/>
      <c r="K75" s="13"/>
      <c r="L75" s="13"/>
      <c r="M75" s="13"/>
      <c r="N75" s="13"/>
      <c r="O75" s="13"/>
      <c r="P75" s="13">
        <v>50000</v>
      </c>
      <c r="Q75" s="13"/>
      <c r="R75" s="13"/>
      <c r="S75" s="13">
        <v>500000</v>
      </c>
      <c r="T75" s="18">
        <f>9520+1245000</f>
        <v>1254520</v>
      </c>
      <c r="U75" s="32"/>
      <c r="V75" s="18"/>
      <c r="W75" s="18"/>
      <c r="X75" s="18"/>
      <c r="Y75" s="18"/>
      <c r="Z75" s="18">
        <v>1264763</v>
      </c>
      <c r="AA75" s="13"/>
      <c r="AB75" s="13"/>
      <c r="AC75" s="13">
        <v>4274800</v>
      </c>
      <c r="AD75" s="13">
        <v>1200000</v>
      </c>
      <c r="AE75" s="13"/>
      <c r="AF75" s="13">
        <v>649800</v>
      </c>
      <c r="AG75" s="13">
        <v>1148000</v>
      </c>
      <c r="AH75" s="13">
        <f>7316200+750500+700000</f>
        <v>8766700</v>
      </c>
    </row>
    <row r="76" spans="1:34" x14ac:dyDescent="0.25">
      <c r="A76" s="34"/>
      <c r="B76" s="18"/>
      <c r="C76" s="18"/>
      <c r="D76" s="18"/>
      <c r="E76" s="18"/>
      <c r="F76" s="18"/>
      <c r="G76" s="18"/>
      <c r="H76" s="18"/>
      <c r="I76" s="13"/>
      <c r="J76" s="13"/>
      <c r="K76" s="13"/>
      <c r="L76" s="13"/>
      <c r="M76" s="13"/>
      <c r="N76" s="13"/>
      <c r="O76" s="13"/>
      <c r="P76" s="13"/>
      <c r="Q76" s="13"/>
      <c r="R76" s="13"/>
      <c r="S76" s="13"/>
      <c r="T76" s="18"/>
      <c r="U76" s="32"/>
      <c r="V76" s="18"/>
      <c r="W76" s="18"/>
      <c r="X76" s="18"/>
      <c r="Y76" s="18"/>
      <c r="Z76" s="18"/>
      <c r="AA76" s="13"/>
      <c r="AB76" s="13"/>
      <c r="AC76" s="13"/>
      <c r="AD76" s="13"/>
      <c r="AE76" s="13"/>
      <c r="AF76" s="13"/>
      <c r="AG76" s="13"/>
      <c r="AH76" s="13"/>
    </row>
    <row r="77" spans="1:34" x14ac:dyDescent="0.25">
      <c r="A77" s="34" t="s">
        <v>293</v>
      </c>
      <c r="B77" s="18"/>
      <c r="C77" s="18"/>
      <c r="D77" s="18"/>
      <c r="E77" s="18"/>
      <c r="F77" s="18"/>
      <c r="G77" s="18"/>
      <c r="H77" s="18"/>
      <c r="I77" s="13"/>
      <c r="J77" s="13"/>
      <c r="K77" s="13"/>
      <c r="L77" s="13"/>
      <c r="M77" s="13"/>
      <c r="N77" s="13"/>
      <c r="O77" s="13"/>
      <c r="P77" s="13"/>
      <c r="Q77" s="13"/>
      <c r="R77" s="13"/>
      <c r="S77" s="13"/>
      <c r="T77" s="18"/>
      <c r="U77" s="32"/>
      <c r="V77" s="18"/>
      <c r="W77" s="18">
        <v>258318</v>
      </c>
      <c r="X77" s="18"/>
      <c r="Y77" s="18"/>
      <c r="Z77" s="18">
        <v>37268</v>
      </c>
      <c r="AA77" s="13"/>
      <c r="AB77" s="13"/>
      <c r="AC77" s="13">
        <v>119979</v>
      </c>
      <c r="AD77" s="13"/>
      <c r="AE77" s="13"/>
      <c r="AF77" s="13"/>
      <c r="AG77" s="13"/>
      <c r="AH77" s="13"/>
    </row>
    <row r="78" spans="1:34" x14ac:dyDescent="0.25">
      <c r="A78" s="153" t="s">
        <v>253</v>
      </c>
      <c r="B78" s="18"/>
      <c r="C78" s="18"/>
      <c r="D78" s="18"/>
      <c r="E78" s="18"/>
      <c r="F78" s="18"/>
      <c r="G78" s="18"/>
      <c r="H78" s="18">
        <v>1920</v>
      </c>
      <c r="I78" s="13"/>
      <c r="J78" s="13"/>
      <c r="K78" s="13"/>
      <c r="L78" s="13">
        <v>35000</v>
      </c>
      <c r="M78" s="13"/>
      <c r="N78" s="13"/>
      <c r="O78" s="13"/>
      <c r="P78" s="13"/>
      <c r="Q78" s="13"/>
      <c r="R78" s="13"/>
      <c r="S78" s="13">
        <v>840000</v>
      </c>
      <c r="T78" s="18"/>
      <c r="U78" s="32"/>
      <c r="V78" s="18"/>
      <c r="W78" s="18"/>
      <c r="X78" s="18"/>
      <c r="Y78" s="18"/>
      <c r="Z78" s="18"/>
      <c r="AA78" s="13"/>
      <c r="AB78" s="13"/>
      <c r="AC78" s="13"/>
      <c r="AD78" s="13"/>
      <c r="AE78" s="13"/>
      <c r="AF78" s="13"/>
      <c r="AG78" s="13"/>
      <c r="AH78" s="13"/>
    </row>
    <row r="79" spans="1:34" ht="30" x14ac:dyDescent="0.25">
      <c r="A79" s="34" t="s">
        <v>899</v>
      </c>
      <c r="B79" s="18"/>
      <c r="C79" s="18"/>
      <c r="D79" s="18"/>
      <c r="E79" s="18"/>
      <c r="F79" s="18"/>
      <c r="G79" s="18"/>
      <c r="H79" s="18"/>
      <c r="I79" s="13"/>
      <c r="J79" s="13">
        <v>59120</v>
      </c>
      <c r="K79" s="13"/>
      <c r="L79" s="13"/>
      <c r="M79" s="13"/>
      <c r="N79" s="13"/>
      <c r="O79" s="13"/>
      <c r="P79" s="13"/>
      <c r="Q79" s="13"/>
      <c r="R79" s="13"/>
      <c r="S79" s="13"/>
      <c r="T79" s="18"/>
      <c r="U79" s="32"/>
      <c r="V79" s="18"/>
      <c r="W79" s="18"/>
      <c r="X79" s="18"/>
      <c r="Y79" s="18"/>
      <c r="Z79" s="18"/>
      <c r="AA79" s="13"/>
      <c r="AB79" s="13"/>
      <c r="AC79" s="13"/>
      <c r="AD79" s="13"/>
      <c r="AE79" s="13"/>
      <c r="AF79" s="13"/>
      <c r="AG79" s="13"/>
      <c r="AH79" s="13"/>
    </row>
    <row r="80" spans="1:34" x14ac:dyDescent="0.25">
      <c r="A80" s="34" t="s">
        <v>254</v>
      </c>
      <c r="B80" s="18"/>
      <c r="C80" s="18"/>
      <c r="D80" s="18"/>
      <c r="E80" s="18"/>
      <c r="F80" s="18"/>
      <c r="G80" s="18"/>
      <c r="H80" s="18"/>
      <c r="I80" s="13"/>
      <c r="J80" s="13"/>
      <c r="K80" s="13"/>
      <c r="L80" s="13"/>
      <c r="M80" s="13"/>
      <c r="N80" s="13"/>
      <c r="O80" s="13"/>
      <c r="P80" s="13"/>
      <c r="Q80" s="13"/>
      <c r="R80" s="13"/>
      <c r="S80" s="13"/>
      <c r="T80" s="18"/>
      <c r="U80" s="32"/>
      <c r="V80" s="18"/>
      <c r="W80" s="18"/>
      <c r="X80" s="18"/>
      <c r="Y80" s="18"/>
      <c r="Z80" s="18"/>
      <c r="AA80" s="13"/>
      <c r="AB80" s="13"/>
      <c r="AC80" s="13"/>
      <c r="AD80" s="13"/>
      <c r="AE80" s="13"/>
      <c r="AF80" s="13"/>
      <c r="AG80" s="13">
        <v>67250</v>
      </c>
      <c r="AH80" s="13"/>
    </row>
    <row r="81" spans="1:34" ht="30" x14ac:dyDescent="0.25">
      <c r="A81" s="34" t="s">
        <v>857</v>
      </c>
      <c r="B81" s="18"/>
      <c r="C81" s="18"/>
      <c r="D81" s="18"/>
      <c r="E81" s="18"/>
      <c r="F81" s="18"/>
      <c r="G81" s="18"/>
      <c r="H81" s="18"/>
      <c r="I81" s="13"/>
      <c r="J81" s="13"/>
      <c r="K81" s="13"/>
      <c r="L81" s="13"/>
      <c r="M81" s="13"/>
      <c r="N81" s="13"/>
      <c r="O81" s="13"/>
      <c r="P81" s="13"/>
      <c r="Q81" s="13"/>
      <c r="R81" s="13"/>
      <c r="S81" s="13"/>
      <c r="T81" s="18"/>
      <c r="U81" s="32"/>
      <c r="V81" s="18"/>
      <c r="W81" s="18"/>
      <c r="X81" s="18"/>
      <c r="Y81" s="18"/>
      <c r="Z81" s="18"/>
      <c r="AA81" s="13"/>
      <c r="AB81" s="13"/>
      <c r="AC81" s="13"/>
      <c r="AD81" s="13"/>
      <c r="AE81" s="13"/>
      <c r="AF81" s="13"/>
      <c r="AG81" s="13">
        <v>200000</v>
      </c>
      <c r="AH81" s="13">
        <v>225000</v>
      </c>
    </row>
    <row r="82" spans="1:34" ht="45" x14ac:dyDescent="0.25">
      <c r="A82" s="34" t="s">
        <v>900</v>
      </c>
      <c r="B82" s="18"/>
      <c r="C82" s="18"/>
      <c r="D82" s="18"/>
      <c r="E82" s="18"/>
      <c r="F82" s="18"/>
      <c r="G82" s="18"/>
      <c r="H82" s="18"/>
      <c r="I82" s="13"/>
      <c r="J82" s="13"/>
      <c r="K82" s="13"/>
      <c r="L82" s="13"/>
      <c r="M82" s="13"/>
      <c r="N82" s="13"/>
      <c r="O82" s="13"/>
      <c r="P82" s="13"/>
      <c r="Q82" s="13"/>
      <c r="R82" s="13"/>
      <c r="S82" s="13"/>
      <c r="T82" s="18"/>
      <c r="U82" s="32"/>
      <c r="V82" s="18"/>
      <c r="W82" s="18"/>
      <c r="X82" s="18"/>
      <c r="Y82" s="18"/>
      <c r="Z82" s="18"/>
      <c r="AA82" s="13"/>
      <c r="AB82" s="13"/>
      <c r="AC82" s="13"/>
      <c r="AD82" s="13"/>
      <c r="AE82" s="13"/>
      <c r="AF82" s="13"/>
      <c r="AG82" s="13"/>
      <c r="AH82" s="13">
        <v>1000000</v>
      </c>
    </row>
    <row r="83" spans="1:34" ht="45" x14ac:dyDescent="0.25">
      <c r="A83" s="34" t="s">
        <v>901</v>
      </c>
      <c r="B83" s="18"/>
      <c r="C83" s="18"/>
      <c r="D83" s="18"/>
      <c r="E83" s="18"/>
      <c r="F83" s="18"/>
      <c r="G83" s="18"/>
      <c r="H83" s="18"/>
      <c r="I83" s="13"/>
      <c r="J83" s="13"/>
      <c r="K83" s="13"/>
      <c r="L83" s="13"/>
      <c r="M83" s="13"/>
      <c r="N83" s="13"/>
      <c r="O83" s="13"/>
      <c r="P83" s="13"/>
      <c r="Q83" s="13"/>
      <c r="R83" s="13"/>
      <c r="S83" s="13">
        <v>523630</v>
      </c>
      <c r="T83" s="18"/>
      <c r="U83" s="32"/>
      <c r="V83" s="18"/>
      <c r="W83" s="18"/>
      <c r="X83" s="18"/>
      <c r="Y83" s="18"/>
      <c r="Z83" s="18"/>
      <c r="AA83" s="13"/>
      <c r="AB83" s="13"/>
      <c r="AC83" s="13"/>
      <c r="AD83" s="13"/>
      <c r="AE83" s="13">
        <v>1740010</v>
      </c>
      <c r="AF83" s="13"/>
      <c r="AG83" s="13">
        <v>4202900</v>
      </c>
      <c r="AH83" s="13"/>
    </row>
    <row r="84" spans="1:34" x14ac:dyDescent="0.25">
      <c r="A84" s="82"/>
      <c r="B84" s="18"/>
      <c r="C84" s="18"/>
      <c r="D84" s="18"/>
      <c r="E84" s="18"/>
      <c r="F84" s="18"/>
      <c r="G84" s="18"/>
      <c r="H84" s="18"/>
      <c r="I84" s="13"/>
      <c r="J84" s="13"/>
      <c r="K84" s="13"/>
      <c r="L84" s="13"/>
      <c r="M84" s="13"/>
      <c r="N84" s="13"/>
      <c r="O84" s="13"/>
      <c r="P84" s="13"/>
      <c r="Q84" s="13"/>
      <c r="R84" s="13"/>
      <c r="S84" s="13"/>
      <c r="T84" s="18"/>
      <c r="U84" s="32"/>
      <c r="V84" s="18"/>
      <c r="W84" s="18"/>
      <c r="X84" s="18"/>
      <c r="Y84" s="18"/>
      <c r="Z84" s="18"/>
      <c r="AA84" s="13"/>
      <c r="AB84" s="13"/>
      <c r="AC84" s="13"/>
      <c r="AD84" s="13"/>
      <c r="AE84" s="13"/>
      <c r="AF84" s="13"/>
      <c r="AG84" s="13"/>
      <c r="AH84" s="13"/>
    </row>
    <row r="85" spans="1:34" x14ac:dyDescent="0.25">
      <c r="A85" s="89" t="s">
        <v>83</v>
      </c>
      <c r="B85" s="30">
        <f>SUM(B8:B83)</f>
        <v>541300</v>
      </c>
      <c r="C85" s="30">
        <f>SUM(C8:C83)</f>
        <v>756054</v>
      </c>
      <c r="D85" s="30">
        <f>SUM(D8:D83)</f>
        <v>1281280</v>
      </c>
      <c r="E85" s="30"/>
      <c r="F85" s="30">
        <f>SUM(F8:F83)</f>
        <v>2506773</v>
      </c>
      <c r="G85" s="30">
        <f>SUM(G8:G83)</f>
        <v>1301942</v>
      </c>
      <c r="H85" s="30">
        <f>SUM(H8:H83)</f>
        <v>973996</v>
      </c>
      <c r="I85" s="28">
        <f>SUM(I8:I83)</f>
        <v>3394650</v>
      </c>
      <c r="J85" s="28">
        <f>SUM(J8:J83)</f>
        <v>4413704</v>
      </c>
      <c r="K85" s="28"/>
      <c r="L85" s="28">
        <f t="shared" ref="L85:T85" si="0">SUM(L8:L83)</f>
        <v>6725522</v>
      </c>
      <c r="M85" s="28">
        <f t="shared" si="0"/>
        <v>7072372</v>
      </c>
      <c r="N85" s="28">
        <f t="shared" si="0"/>
        <v>8809510</v>
      </c>
      <c r="O85" s="28">
        <f t="shared" si="0"/>
        <v>7875546</v>
      </c>
      <c r="P85" s="28">
        <f t="shared" si="0"/>
        <v>4015860</v>
      </c>
      <c r="Q85" s="28">
        <f t="shared" si="0"/>
        <v>6707310</v>
      </c>
      <c r="R85" s="28">
        <f t="shared" si="0"/>
        <v>9853620</v>
      </c>
      <c r="S85" s="30">
        <f t="shared" si="0"/>
        <v>16010773</v>
      </c>
      <c r="T85" s="30">
        <f t="shared" si="0"/>
        <v>14679188</v>
      </c>
      <c r="U85" s="36"/>
      <c r="V85" s="28">
        <f t="shared" ref="V85:AH85" si="1">SUM(V8:V83)</f>
        <v>15479282</v>
      </c>
      <c r="W85" s="28">
        <f t="shared" si="1"/>
        <v>17758488</v>
      </c>
      <c r="X85" s="28">
        <f t="shared" si="1"/>
        <v>17113180</v>
      </c>
      <c r="Y85" s="28">
        <f t="shared" si="1"/>
        <v>15762420</v>
      </c>
      <c r="Z85" s="28">
        <f t="shared" si="1"/>
        <v>17874391</v>
      </c>
      <c r="AA85" s="28">
        <f t="shared" si="1"/>
        <v>18161480</v>
      </c>
      <c r="AB85" s="28">
        <f t="shared" si="1"/>
        <v>22671500</v>
      </c>
      <c r="AC85" s="28">
        <f t="shared" si="1"/>
        <v>30917234</v>
      </c>
      <c r="AD85" s="28">
        <f t="shared" si="1"/>
        <v>29630000</v>
      </c>
      <c r="AE85" s="28">
        <f t="shared" si="1"/>
        <v>37015765</v>
      </c>
      <c r="AF85" s="28">
        <f t="shared" si="1"/>
        <v>56834728</v>
      </c>
      <c r="AG85" s="28">
        <f t="shared" si="1"/>
        <v>59882754</v>
      </c>
      <c r="AH85" s="28">
        <f t="shared" si="1"/>
        <v>60389632</v>
      </c>
    </row>
    <row r="86" spans="1:34" x14ac:dyDescent="0.25">
      <c r="A86" s="34"/>
      <c r="B86" s="29"/>
      <c r="C86" s="29"/>
      <c r="D86" s="29"/>
      <c r="E86" s="29"/>
      <c r="F86" s="29"/>
      <c r="G86" s="29"/>
      <c r="H86" s="29"/>
      <c r="I86" s="29"/>
      <c r="J86" s="29"/>
      <c r="K86" s="29"/>
      <c r="L86" s="29"/>
      <c r="M86" s="29"/>
      <c r="N86" s="29"/>
      <c r="O86" s="29"/>
      <c r="P86" s="29"/>
      <c r="Q86" s="29"/>
      <c r="R86" s="29"/>
      <c r="S86" s="29"/>
      <c r="T86" s="37"/>
      <c r="U86" s="32"/>
      <c r="V86" s="18"/>
      <c r="W86" s="29"/>
      <c r="X86" s="29"/>
      <c r="Y86" s="29"/>
      <c r="Z86" s="29"/>
      <c r="AA86" s="13"/>
      <c r="AB86" s="13"/>
      <c r="AC86" s="13"/>
      <c r="AD86" s="13"/>
      <c r="AE86" s="13"/>
      <c r="AF86" s="13"/>
      <c r="AG86" s="13"/>
      <c r="AH86" s="29"/>
    </row>
    <row r="87" spans="1:34" x14ac:dyDescent="0.25">
      <c r="A87" s="90" t="s">
        <v>620</v>
      </c>
      <c r="B87" s="28">
        <f t="shared" ref="B87:AH87" si="2">B85-B77-B8</f>
        <v>541300</v>
      </c>
      <c r="C87" s="28">
        <f t="shared" si="2"/>
        <v>706400</v>
      </c>
      <c r="D87" s="28">
        <f t="shared" si="2"/>
        <v>929920</v>
      </c>
      <c r="E87" s="28">
        <f t="shared" si="2"/>
        <v>0</v>
      </c>
      <c r="F87" s="28">
        <f t="shared" si="2"/>
        <v>1241520</v>
      </c>
      <c r="G87" s="28">
        <f t="shared" si="2"/>
        <v>1182000</v>
      </c>
      <c r="H87" s="28">
        <f t="shared" si="2"/>
        <v>945160</v>
      </c>
      <c r="I87" s="28">
        <f t="shared" si="2"/>
        <v>3370581</v>
      </c>
      <c r="J87" s="28">
        <f t="shared" si="2"/>
        <v>3349530</v>
      </c>
      <c r="K87" s="28">
        <f t="shared" si="2"/>
        <v>0</v>
      </c>
      <c r="L87" s="28">
        <f t="shared" si="2"/>
        <v>4167224</v>
      </c>
      <c r="M87" s="28">
        <f t="shared" si="2"/>
        <v>4854930</v>
      </c>
      <c r="N87" s="28">
        <f t="shared" si="2"/>
        <v>4991300</v>
      </c>
      <c r="O87" s="28">
        <f t="shared" si="2"/>
        <v>4057336</v>
      </c>
      <c r="P87" s="28">
        <f t="shared" si="2"/>
        <v>4015860</v>
      </c>
      <c r="Q87" s="28">
        <f t="shared" si="2"/>
        <v>6707310</v>
      </c>
      <c r="R87" s="28">
        <f t="shared" si="2"/>
        <v>9819920</v>
      </c>
      <c r="S87" s="28">
        <f t="shared" si="2"/>
        <v>15518610</v>
      </c>
      <c r="T87" s="28">
        <f t="shared" si="2"/>
        <v>14189750</v>
      </c>
      <c r="U87" s="28">
        <f t="shared" si="2"/>
        <v>0</v>
      </c>
      <c r="V87" s="28">
        <f t="shared" si="2"/>
        <v>15479282</v>
      </c>
      <c r="W87" s="28">
        <f t="shared" si="2"/>
        <v>15504940</v>
      </c>
      <c r="X87" s="28">
        <f t="shared" si="2"/>
        <v>17113180</v>
      </c>
      <c r="Y87" s="28">
        <f t="shared" si="2"/>
        <v>15762420</v>
      </c>
      <c r="Z87" s="28">
        <f t="shared" si="2"/>
        <v>17837123</v>
      </c>
      <c r="AA87" s="28">
        <f t="shared" si="2"/>
        <v>18161480</v>
      </c>
      <c r="AB87" s="28">
        <f t="shared" si="2"/>
        <v>22671500</v>
      </c>
      <c r="AC87" s="28">
        <f t="shared" si="2"/>
        <v>25851330</v>
      </c>
      <c r="AD87" s="28">
        <f t="shared" si="2"/>
        <v>29630000</v>
      </c>
      <c r="AE87" s="28">
        <f t="shared" si="2"/>
        <v>37015765</v>
      </c>
      <c r="AF87" s="28">
        <f t="shared" si="2"/>
        <v>56834728</v>
      </c>
      <c r="AG87" s="28">
        <f t="shared" si="2"/>
        <v>59882754</v>
      </c>
      <c r="AH87" s="28">
        <f t="shared" si="2"/>
        <v>60389632</v>
      </c>
    </row>
    <row r="89" spans="1:34" x14ac:dyDescent="0.25">
      <c r="A89" s="94"/>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row>
    <row r="91" spans="1:34" x14ac:dyDescent="0.25">
      <c r="A91" s="78" t="s">
        <v>301</v>
      </c>
    </row>
    <row r="92" spans="1:34" x14ac:dyDescent="0.25">
      <c r="A92" s="79" t="s">
        <v>255</v>
      </c>
      <c r="B92" s="2" t="s">
        <v>180</v>
      </c>
      <c r="C92" s="2" t="s">
        <v>181</v>
      </c>
      <c r="D92" s="2" t="s">
        <v>182</v>
      </c>
      <c r="E92" s="2"/>
      <c r="F92" s="1" t="s">
        <v>183</v>
      </c>
      <c r="G92" s="1" t="s">
        <v>3</v>
      </c>
      <c r="H92" s="2" t="s">
        <v>184</v>
      </c>
      <c r="I92" s="2" t="s">
        <v>185</v>
      </c>
      <c r="J92" s="2" t="s">
        <v>186</v>
      </c>
      <c r="K92" s="2"/>
      <c r="L92" s="2" t="s">
        <v>187</v>
      </c>
      <c r="M92" s="2" t="s">
        <v>188</v>
      </c>
      <c r="N92" s="2" t="s">
        <v>188</v>
      </c>
      <c r="O92" s="2" t="s">
        <v>189</v>
      </c>
      <c r="P92" s="2" t="s">
        <v>190</v>
      </c>
      <c r="Q92" s="2" t="s">
        <v>191</v>
      </c>
      <c r="R92" s="2" t="s">
        <v>192</v>
      </c>
      <c r="S92" s="2" t="s">
        <v>193</v>
      </c>
      <c r="T92" s="2" t="s">
        <v>194</v>
      </c>
      <c r="U92" s="2"/>
      <c r="V92" s="1" t="s">
        <v>195</v>
      </c>
      <c r="W92" s="2" t="s">
        <v>196</v>
      </c>
      <c r="X92" s="2" t="s">
        <v>197</v>
      </c>
      <c r="Y92" s="2" t="s">
        <v>198</v>
      </c>
      <c r="Z92" s="2" t="s">
        <v>199</v>
      </c>
      <c r="AA92" s="2" t="s">
        <v>200</v>
      </c>
      <c r="AB92" s="2" t="s">
        <v>201</v>
      </c>
      <c r="AC92" s="2" t="s">
        <v>201</v>
      </c>
      <c r="AD92" s="2" t="s">
        <v>201</v>
      </c>
      <c r="AE92" s="2" t="s">
        <v>202</v>
      </c>
      <c r="AF92" s="14" t="s">
        <v>257</v>
      </c>
    </row>
    <row r="93" spans="1:34" x14ac:dyDescent="0.25">
      <c r="A93" s="79" t="s">
        <v>256</v>
      </c>
      <c r="B93" s="2" t="s">
        <v>1178</v>
      </c>
      <c r="C93" s="2" t="s">
        <v>1179</v>
      </c>
      <c r="D93" s="2" t="s">
        <v>1180</v>
      </c>
      <c r="E93" s="2"/>
      <c r="F93" s="1" t="s">
        <v>1181</v>
      </c>
      <c r="G93" s="1" t="s">
        <v>1182</v>
      </c>
      <c r="H93" s="2" t="s">
        <v>1183</v>
      </c>
      <c r="I93" s="2" t="s">
        <v>1184</v>
      </c>
      <c r="J93" s="2" t="s">
        <v>1185</v>
      </c>
      <c r="K93" s="2"/>
      <c r="L93" s="2" t="s">
        <v>1186</v>
      </c>
      <c r="M93" s="2" t="s">
        <v>1187</v>
      </c>
      <c r="N93" s="2" t="s">
        <v>1188</v>
      </c>
      <c r="O93" s="2" t="s">
        <v>1189</v>
      </c>
      <c r="P93" s="2" t="s">
        <v>1190</v>
      </c>
      <c r="Q93" s="2" t="s">
        <v>1191</v>
      </c>
      <c r="R93" s="2" t="s">
        <v>1192</v>
      </c>
      <c r="S93" s="2" t="s">
        <v>1193</v>
      </c>
      <c r="T93" s="2" t="s">
        <v>1194</v>
      </c>
      <c r="U93" s="2"/>
      <c r="V93" s="1" t="s">
        <v>1195</v>
      </c>
      <c r="W93" s="2" t="s">
        <v>1196</v>
      </c>
      <c r="X93" s="2" t="s">
        <v>1197</v>
      </c>
      <c r="Y93" s="2" t="s">
        <v>1198</v>
      </c>
      <c r="Z93" s="2" t="s">
        <v>1199</v>
      </c>
      <c r="AA93" s="2" t="s">
        <v>1200</v>
      </c>
      <c r="AB93" s="2" t="s">
        <v>1201</v>
      </c>
      <c r="AC93" s="2" t="s">
        <v>1201</v>
      </c>
      <c r="AD93" s="2" t="s">
        <v>1201</v>
      </c>
      <c r="AE93" s="2" t="s">
        <v>1202</v>
      </c>
      <c r="AF93" s="23"/>
      <c r="AG93" s="23"/>
      <c r="AH93" s="23"/>
    </row>
    <row r="94" spans="1:34" x14ac:dyDescent="0.25">
      <c r="A94" s="80" t="s">
        <v>85</v>
      </c>
      <c r="B94" s="5">
        <v>1858</v>
      </c>
      <c r="C94" s="5">
        <v>1859</v>
      </c>
      <c r="D94" s="5">
        <v>1860</v>
      </c>
      <c r="E94" s="5">
        <v>1861</v>
      </c>
      <c r="F94" s="5">
        <v>1862</v>
      </c>
      <c r="G94" s="5" t="s">
        <v>203</v>
      </c>
      <c r="H94" s="6" t="s">
        <v>204</v>
      </c>
      <c r="I94" s="6" t="s">
        <v>205</v>
      </c>
      <c r="J94" s="6" t="s">
        <v>206</v>
      </c>
      <c r="K94" s="6" t="s">
        <v>207</v>
      </c>
      <c r="L94" s="6" t="s">
        <v>208</v>
      </c>
      <c r="M94" s="6" t="s">
        <v>209</v>
      </c>
      <c r="N94" s="6" t="s">
        <v>210</v>
      </c>
      <c r="O94" s="6" t="s">
        <v>211</v>
      </c>
      <c r="P94" s="6" t="s">
        <v>212</v>
      </c>
      <c r="Q94" s="6" t="s">
        <v>22</v>
      </c>
      <c r="R94" s="6" t="s">
        <v>213</v>
      </c>
      <c r="S94" s="6" t="s">
        <v>214</v>
      </c>
      <c r="T94" s="6" t="s">
        <v>294</v>
      </c>
      <c r="U94" s="6" t="s">
        <v>216</v>
      </c>
      <c r="V94" s="6" t="s">
        <v>23</v>
      </c>
      <c r="W94" s="6" t="s">
        <v>24</v>
      </c>
      <c r="X94" s="6" t="s">
        <v>25</v>
      </c>
      <c r="Y94" s="6" t="s">
        <v>26</v>
      </c>
      <c r="Z94" s="6" t="s">
        <v>27</v>
      </c>
      <c r="AA94" s="6" t="s">
        <v>28</v>
      </c>
      <c r="AB94" s="6" t="s">
        <v>29</v>
      </c>
      <c r="AC94" s="6" t="s">
        <v>30</v>
      </c>
      <c r="AD94" s="6" t="s">
        <v>31</v>
      </c>
      <c r="AE94" s="6" t="s">
        <v>32</v>
      </c>
      <c r="AF94" s="5" t="s">
        <v>33</v>
      </c>
      <c r="AG94" s="5" t="s">
        <v>217</v>
      </c>
      <c r="AH94" s="6" t="s">
        <v>218</v>
      </c>
    </row>
    <row r="95" spans="1:34" x14ac:dyDescent="0.25">
      <c r="A95" s="81" t="s">
        <v>86</v>
      </c>
      <c r="B95" s="2" t="s">
        <v>219</v>
      </c>
      <c r="C95" s="2" t="s">
        <v>220</v>
      </c>
      <c r="D95" s="2" t="s">
        <v>221</v>
      </c>
      <c r="E95" s="2"/>
      <c r="F95" s="1" t="s">
        <v>222</v>
      </c>
      <c r="G95" s="1" t="s">
        <v>223</v>
      </c>
      <c r="H95" s="2" t="s">
        <v>224</v>
      </c>
      <c r="I95" s="2" t="s">
        <v>225</v>
      </c>
      <c r="J95" s="2" t="s">
        <v>226</v>
      </c>
      <c r="K95" s="2"/>
      <c r="L95" s="2" t="s">
        <v>227</v>
      </c>
      <c r="M95" s="2" t="s">
        <v>228</v>
      </c>
      <c r="N95" s="2" t="s">
        <v>229</v>
      </c>
      <c r="O95" s="2" t="s">
        <v>230</v>
      </c>
      <c r="P95" s="2" t="s">
        <v>231</v>
      </c>
      <c r="Q95" s="2" t="s">
        <v>232</v>
      </c>
      <c r="R95" s="2" t="s">
        <v>233</v>
      </c>
      <c r="S95" s="2" t="s">
        <v>234</v>
      </c>
      <c r="T95" s="2" t="s">
        <v>235</v>
      </c>
      <c r="U95" s="2"/>
      <c r="V95" s="1" t="s">
        <v>236</v>
      </c>
      <c r="W95" s="2" t="s">
        <v>237</v>
      </c>
      <c r="X95" s="2" t="s">
        <v>238</v>
      </c>
      <c r="Y95" s="2" t="s">
        <v>239</v>
      </c>
      <c r="Z95" s="2" t="s">
        <v>240</v>
      </c>
      <c r="AA95" s="2" t="s">
        <v>241</v>
      </c>
      <c r="AB95" s="2" t="s">
        <v>242</v>
      </c>
      <c r="AC95" s="2" t="s">
        <v>243</v>
      </c>
      <c r="AD95" s="2" t="s">
        <v>244</v>
      </c>
      <c r="AE95" s="2" t="s">
        <v>245</v>
      </c>
      <c r="AF95" s="1" t="s">
        <v>246</v>
      </c>
      <c r="AG95" s="2" t="s">
        <v>247</v>
      </c>
      <c r="AH95" s="2" t="s">
        <v>248</v>
      </c>
    </row>
    <row r="96" spans="1:34" x14ac:dyDescent="0.25">
      <c r="A96" s="79" t="s">
        <v>84</v>
      </c>
      <c r="B96" s="11" t="s">
        <v>71</v>
      </c>
      <c r="C96" s="11" t="s">
        <v>71</v>
      </c>
      <c r="D96" s="11" t="s">
        <v>71</v>
      </c>
      <c r="E96" s="2"/>
      <c r="F96" s="11" t="s">
        <v>71</v>
      </c>
      <c r="G96" s="11" t="s">
        <v>71</v>
      </c>
      <c r="H96" s="2" t="s">
        <v>70</v>
      </c>
      <c r="I96" s="2" t="s">
        <v>70</v>
      </c>
      <c r="J96" s="2" t="s">
        <v>70</v>
      </c>
      <c r="K96" s="2"/>
      <c r="L96" s="2" t="s">
        <v>70</v>
      </c>
      <c r="M96" s="2" t="s">
        <v>70</v>
      </c>
      <c r="N96" s="2" t="s">
        <v>70</v>
      </c>
      <c r="O96" s="2" t="s">
        <v>70</v>
      </c>
      <c r="P96" s="2" t="s">
        <v>70</v>
      </c>
      <c r="Q96" s="2" t="s">
        <v>70</v>
      </c>
      <c r="R96" s="2" t="s">
        <v>70</v>
      </c>
      <c r="S96" s="2" t="s">
        <v>70</v>
      </c>
      <c r="T96" s="2" t="s">
        <v>70</v>
      </c>
      <c r="U96" s="2"/>
      <c r="V96" s="2" t="s">
        <v>70</v>
      </c>
      <c r="W96" s="2" t="s">
        <v>70</v>
      </c>
      <c r="X96" s="2" t="s">
        <v>70</v>
      </c>
      <c r="Y96" s="2" t="s">
        <v>70</v>
      </c>
      <c r="Z96" s="2" t="s">
        <v>70</v>
      </c>
      <c r="AA96" s="2" t="s">
        <v>70</v>
      </c>
      <c r="AB96" s="2" t="s">
        <v>70</v>
      </c>
      <c r="AC96" s="2" t="s">
        <v>70</v>
      </c>
      <c r="AD96" s="12" t="s">
        <v>71</v>
      </c>
      <c r="AE96" s="2" t="s">
        <v>70</v>
      </c>
      <c r="AF96" s="1" t="s">
        <v>70</v>
      </c>
      <c r="AG96" s="1" t="s">
        <v>70</v>
      </c>
      <c r="AH96" s="1" t="s">
        <v>70</v>
      </c>
    </row>
    <row r="97" spans="1:56" x14ac:dyDescent="0.25">
      <c r="A97" s="95"/>
      <c r="B97" s="4"/>
      <c r="C97" s="4"/>
      <c r="D97" s="4"/>
      <c r="E97" s="4"/>
      <c r="F97" s="4"/>
      <c r="G97" s="4"/>
      <c r="H97" s="4"/>
      <c r="I97" s="4"/>
      <c r="J97" s="4"/>
      <c r="K97" s="4"/>
      <c r="L97" s="4"/>
      <c r="M97" s="4"/>
      <c r="N97" s="4"/>
      <c r="O97" s="4"/>
      <c r="P97" s="4"/>
      <c r="Q97" s="4"/>
      <c r="R97" s="4"/>
      <c r="S97" s="4"/>
      <c r="T97" s="4"/>
      <c r="U97" s="38"/>
      <c r="V97" s="4"/>
      <c r="W97" s="4"/>
      <c r="X97" s="4"/>
      <c r="Y97" s="4"/>
      <c r="Z97" s="4"/>
      <c r="AA97" s="4"/>
      <c r="AB97" s="3"/>
      <c r="AC97" s="3"/>
      <c r="AD97" s="3"/>
      <c r="AE97" s="4"/>
      <c r="AF97" s="4"/>
      <c r="AG97" s="4"/>
      <c r="AH97" s="4"/>
    </row>
    <row r="98" spans="1:56" x14ac:dyDescent="0.25">
      <c r="A98" s="43" t="s">
        <v>129</v>
      </c>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v>561358</v>
      </c>
      <c r="AF98" s="7"/>
      <c r="AG98" s="7"/>
      <c r="AH98" s="7"/>
    </row>
    <row r="99" spans="1:56" x14ac:dyDescent="0.25">
      <c r="A99" s="81" t="s">
        <v>856</v>
      </c>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7"/>
      <c r="BA99" s="17"/>
      <c r="BB99" s="17"/>
      <c r="BC99" s="17"/>
      <c r="BD99" s="17"/>
    </row>
    <row r="100" spans="1:56" x14ac:dyDescent="0.25">
      <c r="A100" s="43" t="s">
        <v>130</v>
      </c>
      <c r="B100" s="7"/>
      <c r="C100" s="7"/>
      <c r="D100" s="7"/>
      <c r="E100" s="7"/>
      <c r="F100" s="7"/>
      <c r="G100" s="7"/>
      <c r="H100" s="7"/>
      <c r="I100" s="7"/>
      <c r="J100" s="7"/>
      <c r="K100" s="7"/>
      <c r="L100" s="7"/>
      <c r="M100" s="7"/>
      <c r="N100" s="7"/>
      <c r="O100" s="7"/>
      <c r="P100" s="7"/>
      <c r="Q100" s="7"/>
      <c r="R100" s="7"/>
      <c r="S100" s="7"/>
      <c r="T100" s="7"/>
      <c r="U100" s="7"/>
      <c r="V100" s="7"/>
      <c r="W100" s="7"/>
      <c r="X100" s="7"/>
      <c r="Y100" s="7"/>
      <c r="Z100" s="7">
        <v>575000</v>
      </c>
      <c r="AA100" s="7">
        <v>600000</v>
      </c>
      <c r="AB100" s="7">
        <v>600000</v>
      </c>
      <c r="AC100" s="7">
        <v>600000</v>
      </c>
      <c r="AD100" s="7">
        <v>600000</v>
      </c>
      <c r="AE100" s="7">
        <v>600000</v>
      </c>
      <c r="AF100" s="7">
        <v>600000</v>
      </c>
      <c r="AG100" s="7">
        <v>800000</v>
      </c>
      <c r="AH100" s="7">
        <v>800000</v>
      </c>
    </row>
    <row r="101" spans="1:56" x14ac:dyDescent="0.25">
      <c r="A101" s="43" t="s">
        <v>295</v>
      </c>
      <c r="B101" s="7"/>
      <c r="C101" s="7"/>
      <c r="D101" s="7"/>
      <c r="E101" s="7"/>
      <c r="F101" s="7"/>
      <c r="G101" s="7"/>
      <c r="H101" s="7"/>
      <c r="I101" s="7"/>
      <c r="J101" s="7"/>
      <c r="K101" s="7"/>
      <c r="L101" s="7"/>
      <c r="M101" s="7"/>
      <c r="N101" s="7"/>
      <c r="O101" s="7"/>
      <c r="P101" s="7"/>
      <c r="Q101" s="7">
        <v>300000</v>
      </c>
      <c r="R101" s="7"/>
      <c r="S101" s="7">
        <v>300000</v>
      </c>
      <c r="T101" s="7">
        <v>300000</v>
      </c>
      <c r="U101" s="7"/>
      <c r="V101" s="7">
        <v>300000</v>
      </c>
      <c r="W101" s="7">
        <v>400000</v>
      </c>
      <c r="X101" s="7">
        <v>400000</v>
      </c>
      <c r="Y101" s="7">
        <v>400000</v>
      </c>
      <c r="Z101" s="7">
        <v>400000</v>
      </c>
      <c r="AA101" s="7">
        <v>400000</v>
      </c>
      <c r="AB101" s="7">
        <v>400000</v>
      </c>
      <c r="AC101" s="7">
        <v>400000</v>
      </c>
      <c r="AD101" s="7">
        <v>400000</v>
      </c>
      <c r="AE101" s="7">
        <v>400000</v>
      </c>
      <c r="AF101" s="7">
        <v>400000</v>
      </c>
      <c r="AG101" s="7">
        <v>450000</v>
      </c>
      <c r="AH101" s="7">
        <v>450000</v>
      </c>
    </row>
    <row r="102" spans="1:56" x14ac:dyDescent="0.25">
      <c r="A102" s="43" t="s">
        <v>865</v>
      </c>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v>375000</v>
      </c>
      <c r="AD102" s="7">
        <v>500000</v>
      </c>
      <c r="AE102" s="7">
        <v>500000</v>
      </c>
      <c r="AF102" s="7">
        <v>500000</v>
      </c>
      <c r="AG102" s="7">
        <v>500000</v>
      </c>
      <c r="AH102" s="7">
        <v>500000</v>
      </c>
    </row>
    <row r="103" spans="1:56" x14ac:dyDescent="0.25">
      <c r="A103" s="43" t="s">
        <v>683</v>
      </c>
      <c r="B103" s="7"/>
      <c r="C103" s="7"/>
      <c r="D103" s="7"/>
      <c r="E103" s="7"/>
      <c r="F103" s="7"/>
      <c r="G103" s="7"/>
      <c r="H103" s="7"/>
      <c r="I103" s="7"/>
      <c r="J103" s="7">
        <v>190000</v>
      </c>
      <c r="K103" s="7"/>
      <c r="L103" s="7">
        <v>125000</v>
      </c>
      <c r="M103" s="7">
        <v>100000</v>
      </c>
      <c r="N103" s="7"/>
      <c r="O103" s="7"/>
      <c r="P103" s="7"/>
      <c r="Q103" s="7"/>
      <c r="R103" s="7"/>
      <c r="S103" s="7"/>
      <c r="T103" s="7"/>
      <c r="U103" s="7"/>
      <c r="V103" s="7"/>
      <c r="W103" s="7"/>
      <c r="X103" s="7"/>
      <c r="Y103" s="7"/>
      <c r="Z103" s="7"/>
      <c r="AA103" s="7"/>
      <c r="AB103" s="7"/>
      <c r="AC103" s="7"/>
      <c r="AD103" s="7">
        <v>400000</v>
      </c>
      <c r="AE103" s="7">
        <v>400000</v>
      </c>
      <c r="AF103" s="7">
        <v>400000</v>
      </c>
      <c r="AG103" s="7"/>
      <c r="AH103" s="7"/>
    </row>
    <row r="104" spans="1:56" x14ac:dyDescent="0.25">
      <c r="A104" s="43" t="s">
        <v>682</v>
      </c>
      <c r="B104" s="7"/>
      <c r="C104" s="7"/>
      <c r="D104" s="7"/>
      <c r="E104" s="7"/>
      <c r="F104" s="7"/>
      <c r="G104" s="7"/>
      <c r="H104" s="7"/>
      <c r="I104" s="7"/>
      <c r="J104" s="7"/>
      <c r="K104" s="7"/>
      <c r="L104" s="7"/>
      <c r="M104" s="7"/>
      <c r="N104" s="7"/>
      <c r="O104" s="7"/>
      <c r="P104" s="7"/>
      <c r="Q104" s="7"/>
      <c r="R104" s="7"/>
      <c r="S104" s="7"/>
      <c r="T104" s="7"/>
      <c r="U104" s="7"/>
      <c r="V104" s="7">
        <v>90510</v>
      </c>
      <c r="W104" s="7">
        <v>120000</v>
      </c>
      <c r="X104" s="7">
        <v>135570</v>
      </c>
      <c r="Y104" s="7">
        <v>141600</v>
      </c>
      <c r="Z104" s="7">
        <v>124200</v>
      </c>
      <c r="AA104" s="7">
        <v>131100</v>
      </c>
      <c r="AB104" s="7">
        <v>125100</v>
      </c>
      <c r="AC104" s="7">
        <v>122400</v>
      </c>
      <c r="AD104" s="7">
        <v>135000</v>
      </c>
      <c r="AE104" s="7">
        <v>199962</v>
      </c>
      <c r="AF104" s="7">
        <v>194850</v>
      </c>
      <c r="AG104" s="7">
        <v>219750</v>
      </c>
      <c r="AH104" s="7">
        <v>225900</v>
      </c>
    </row>
    <row r="105" spans="1:56" x14ac:dyDescent="0.25">
      <c r="A105" s="43" t="s">
        <v>299</v>
      </c>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v>600000</v>
      </c>
      <c r="AH105" s="7">
        <v>600000</v>
      </c>
    </row>
    <row r="106" spans="1:56" x14ac:dyDescent="0.25">
      <c r="A106" s="43" t="s">
        <v>1092</v>
      </c>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v>800000</v>
      </c>
      <c r="AH106" s="7">
        <f>1300000+1000000</f>
        <v>2300000</v>
      </c>
    </row>
    <row r="107" spans="1:56" x14ac:dyDescent="0.25">
      <c r="A107" s="43" t="s">
        <v>867</v>
      </c>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v>400000</v>
      </c>
      <c r="AE107" s="7">
        <v>400000</v>
      </c>
      <c r="AF107" s="7">
        <v>400000</v>
      </c>
      <c r="AG107" s="7">
        <v>400000</v>
      </c>
      <c r="AH107" s="7">
        <v>400000</v>
      </c>
    </row>
    <row r="108" spans="1:56" x14ac:dyDescent="0.25">
      <c r="A108" s="43" t="s">
        <v>305</v>
      </c>
      <c r="B108" s="7">
        <v>100000</v>
      </c>
      <c r="C108" s="7">
        <v>100000</v>
      </c>
      <c r="D108" s="7">
        <v>100000</v>
      </c>
      <c r="E108" s="7"/>
      <c r="F108" s="7">
        <v>100000</v>
      </c>
      <c r="G108" s="7">
        <v>100000</v>
      </c>
      <c r="H108" s="7">
        <v>100000</v>
      </c>
      <c r="I108" s="7">
        <v>113872</v>
      </c>
      <c r="J108" s="7">
        <v>150000</v>
      </c>
      <c r="K108" s="7"/>
      <c r="L108" s="7">
        <v>150000</v>
      </c>
      <c r="M108" s="7">
        <f>247230</f>
        <v>247230</v>
      </c>
      <c r="N108" s="7">
        <v>400000</v>
      </c>
      <c r="O108" s="7">
        <v>400000</v>
      </c>
      <c r="P108" s="7">
        <v>400000</v>
      </c>
      <c r="Q108" s="7">
        <v>400000</v>
      </c>
      <c r="R108" s="7">
        <v>500000</v>
      </c>
      <c r="S108" s="7">
        <v>600000</v>
      </c>
      <c r="T108" s="7">
        <v>600000</v>
      </c>
      <c r="U108" s="7"/>
      <c r="V108" s="7">
        <v>600000</v>
      </c>
      <c r="W108" s="7">
        <v>700000</v>
      </c>
      <c r="X108" s="7">
        <v>700000</v>
      </c>
      <c r="Y108" s="7">
        <v>700000</v>
      </c>
      <c r="Z108" s="7">
        <v>700000</v>
      </c>
      <c r="AA108" s="7">
        <f>700000+217600</f>
        <v>917600</v>
      </c>
      <c r="AB108" s="7">
        <f>800000+73840</f>
        <v>873840</v>
      </c>
      <c r="AC108" s="7">
        <f>800000+51000</f>
        <v>851000</v>
      </c>
      <c r="AD108" s="7">
        <f>800000+100000</f>
        <v>900000</v>
      </c>
      <c r="AE108" s="7">
        <f>800000+98250</f>
        <v>898250</v>
      </c>
      <c r="AF108" s="7">
        <v>600000</v>
      </c>
      <c r="AG108" s="7">
        <v>720000</v>
      </c>
      <c r="AH108" s="7">
        <v>1000000</v>
      </c>
    </row>
    <row r="109" spans="1:56" x14ac:dyDescent="0.25">
      <c r="A109" s="43" t="s">
        <v>297</v>
      </c>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v>600000</v>
      </c>
      <c r="AG109" s="7">
        <v>720000</v>
      </c>
      <c r="AH109" s="7">
        <v>1000000</v>
      </c>
    </row>
    <row r="110" spans="1:56" x14ac:dyDescent="0.25">
      <c r="A110" s="43" t="s">
        <v>304</v>
      </c>
      <c r="B110" s="7"/>
      <c r="C110" s="7"/>
      <c r="D110" s="7"/>
      <c r="E110" s="7"/>
      <c r="F110" s="7"/>
      <c r="G110" s="7"/>
      <c r="H110" s="7"/>
      <c r="I110" s="7"/>
      <c r="J110" s="7"/>
      <c r="K110" s="7"/>
      <c r="L110" s="7"/>
      <c r="M110" s="7"/>
      <c r="N110" s="7"/>
      <c r="O110" s="7"/>
      <c r="P110" s="7"/>
      <c r="Q110" s="7"/>
      <c r="R110" s="7"/>
      <c r="S110" s="7"/>
      <c r="T110" s="7"/>
      <c r="U110" s="7"/>
      <c r="V110" s="7"/>
      <c r="W110" s="7"/>
      <c r="X110" s="7"/>
      <c r="Y110" s="7"/>
      <c r="Z110" s="7">
        <v>690000</v>
      </c>
      <c r="AA110" s="7">
        <v>730000</v>
      </c>
      <c r="AB110" s="7">
        <v>1095000</v>
      </c>
      <c r="AC110" s="7">
        <v>1095000</v>
      </c>
      <c r="AD110" s="7">
        <v>1095000</v>
      </c>
      <c r="AE110" s="7">
        <v>1095000</v>
      </c>
      <c r="AF110" s="7">
        <v>1460000</v>
      </c>
      <c r="AG110" s="7">
        <v>1460000</v>
      </c>
      <c r="AH110" s="7">
        <v>1460000</v>
      </c>
    </row>
    <row r="111" spans="1:56" x14ac:dyDescent="0.25">
      <c r="A111" s="43" t="s">
        <v>298</v>
      </c>
      <c r="B111" s="7"/>
      <c r="C111" s="7"/>
      <c r="D111" s="7"/>
      <c r="E111" s="7"/>
      <c r="F111" s="7"/>
      <c r="G111" s="7"/>
      <c r="H111" s="7"/>
      <c r="I111" s="7">
        <v>10100</v>
      </c>
      <c r="J111" s="7"/>
      <c r="K111" s="7"/>
      <c r="L111" s="7"/>
      <c r="M111" s="7">
        <v>55300</v>
      </c>
      <c r="N111" s="7"/>
      <c r="O111" s="7"/>
      <c r="P111" s="7"/>
      <c r="Q111" s="7"/>
      <c r="R111" s="7"/>
      <c r="S111" s="7"/>
      <c r="T111" s="7"/>
      <c r="U111" s="7"/>
      <c r="V111" s="7"/>
      <c r="W111" s="7"/>
      <c r="X111" s="7"/>
      <c r="Y111" s="7"/>
      <c r="Z111" s="7"/>
      <c r="AA111" s="7"/>
      <c r="AB111" s="7"/>
      <c r="AC111" s="7"/>
      <c r="AD111" s="7"/>
      <c r="AE111" s="7"/>
      <c r="AF111" s="7">
        <v>104960</v>
      </c>
      <c r="AG111" s="7">
        <v>57150</v>
      </c>
      <c r="AH111" s="7">
        <v>110000</v>
      </c>
    </row>
    <row r="112" spans="1:56" x14ac:dyDescent="0.25">
      <c r="A112" s="43" t="s">
        <v>306</v>
      </c>
      <c r="B112" s="7">
        <v>70000</v>
      </c>
      <c r="C112" s="7">
        <v>70000</v>
      </c>
      <c r="D112" s="7">
        <v>70000</v>
      </c>
      <c r="E112" s="7"/>
      <c r="F112" s="7">
        <v>70000</v>
      </c>
      <c r="G112" s="7">
        <v>70000</v>
      </c>
      <c r="H112" s="7">
        <v>70000</v>
      </c>
      <c r="I112" s="7">
        <v>79325</v>
      </c>
      <c r="J112" s="7">
        <v>100000</v>
      </c>
      <c r="K112" s="7"/>
      <c r="L112" s="7">
        <v>100000</v>
      </c>
      <c r="M112" s="7">
        <v>150000</v>
      </c>
      <c r="N112" s="7">
        <v>200000</v>
      </c>
      <c r="O112" s="7">
        <v>200000</v>
      </c>
      <c r="P112" s="7">
        <v>200000</v>
      </c>
      <c r="Q112" s="7">
        <v>200000</v>
      </c>
      <c r="R112" s="7">
        <v>300000</v>
      </c>
      <c r="S112" s="7">
        <v>300000</v>
      </c>
      <c r="T112" s="7">
        <v>300000</v>
      </c>
      <c r="U112" s="7"/>
      <c r="V112" s="7">
        <v>300000</v>
      </c>
      <c r="W112" s="7">
        <v>300000</v>
      </c>
      <c r="X112" s="7">
        <v>300000</v>
      </c>
      <c r="Y112" s="7">
        <v>300000</v>
      </c>
      <c r="Z112" s="7">
        <v>300000</v>
      </c>
      <c r="AA112" s="7">
        <v>300000</v>
      </c>
      <c r="AB112" s="7">
        <v>300000</v>
      </c>
      <c r="AC112" s="7">
        <v>400000</v>
      </c>
      <c r="AD112" s="7">
        <v>400000</v>
      </c>
      <c r="AE112" s="7">
        <v>400000</v>
      </c>
      <c r="AF112" s="7">
        <v>400000</v>
      </c>
      <c r="AG112" s="7">
        <v>450000</v>
      </c>
      <c r="AH112" s="7">
        <v>500000</v>
      </c>
    </row>
    <row r="113" spans="1:34" x14ac:dyDescent="0.25">
      <c r="A113" s="43" t="s">
        <v>472</v>
      </c>
      <c r="B113" s="7"/>
      <c r="C113" s="7"/>
      <c r="D113" s="7"/>
      <c r="E113" s="7"/>
      <c r="F113" s="7"/>
      <c r="G113" s="7"/>
      <c r="H113" s="7">
        <v>85064</v>
      </c>
      <c r="I113" s="7">
        <v>356660</v>
      </c>
      <c r="J113" s="7">
        <v>394894</v>
      </c>
      <c r="K113" s="7"/>
      <c r="L113" s="7">
        <v>500066</v>
      </c>
      <c r="M113" s="7">
        <v>588349</v>
      </c>
      <c r="N113" s="7">
        <v>598956</v>
      </c>
      <c r="O113" s="7">
        <v>486760</v>
      </c>
      <c r="P113" s="7">
        <v>481903</v>
      </c>
      <c r="Q113" s="7">
        <v>804877</v>
      </c>
      <c r="R113" s="7">
        <v>1178390</v>
      </c>
      <c r="S113" s="7">
        <v>1739395</v>
      </c>
      <c r="T113" s="7">
        <v>1702614</v>
      </c>
      <c r="U113" s="7"/>
      <c r="V113" s="7">
        <v>1857513</v>
      </c>
      <c r="W113" s="7">
        <v>1860592</v>
      </c>
      <c r="X113" s="7">
        <v>2053578</v>
      </c>
      <c r="Y113" s="7">
        <v>1891490</v>
      </c>
      <c r="Z113" s="7">
        <v>1985808</v>
      </c>
      <c r="AA113" s="7">
        <v>1979391</v>
      </c>
      <c r="AB113" s="7">
        <v>2115853</v>
      </c>
      <c r="AC113" s="7">
        <v>2391278</v>
      </c>
      <c r="AD113" s="7">
        <v>2563000</v>
      </c>
      <c r="AE113" s="7">
        <v>2532912</v>
      </c>
      <c r="AF113" s="7">
        <v>3075791</v>
      </c>
      <c r="AG113" s="7">
        <v>5066280</v>
      </c>
      <c r="AH113" s="7">
        <v>3872888</v>
      </c>
    </row>
    <row r="114" spans="1:34" x14ac:dyDescent="0.25">
      <c r="A114" s="43" t="s">
        <v>868</v>
      </c>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v>25380</v>
      </c>
      <c r="AG114" s="7"/>
      <c r="AH114" s="7"/>
    </row>
    <row r="115" spans="1:34" x14ac:dyDescent="0.25">
      <c r="A115" s="43" t="s">
        <v>473</v>
      </c>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v>638460</v>
      </c>
      <c r="AG115" s="7"/>
      <c r="AH115" s="7"/>
    </row>
    <row r="116" spans="1:34" x14ac:dyDescent="0.25">
      <c r="A116" s="43" t="s">
        <v>307</v>
      </c>
      <c r="B116" s="7">
        <v>250000</v>
      </c>
      <c r="C116" s="7">
        <v>250000</v>
      </c>
      <c r="D116" s="7">
        <v>250000</v>
      </c>
      <c r="E116" s="7"/>
      <c r="F116" s="7">
        <v>250000</v>
      </c>
      <c r="G116" s="7">
        <v>250000</v>
      </c>
      <c r="H116" s="7">
        <v>200000</v>
      </c>
      <c r="I116" s="7">
        <v>216519</v>
      </c>
      <c r="J116" s="7">
        <v>250000</v>
      </c>
      <c r="K116" s="7"/>
      <c r="L116" s="7">
        <v>250000</v>
      </c>
      <c r="M116" s="7">
        <v>300000</v>
      </c>
      <c r="N116" s="7">
        <v>500000</v>
      </c>
      <c r="O116" s="7">
        <v>500000</v>
      </c>
      <c r="P116" s="7">
        <v>500000</v>
      </c>
      <c r="Q116" s="7">
        <v>500000</v>
      </c>
      <c r="R116" s="7">
        <v>600000</v>
      </c>
      <c r="S116" s="7">
        <v>700000</v>
      </c>
      <c r="T116" s="7">
        <v>700000</v>
      </c>
      <c r="U116" s="7"/>
      <c r="V116" s="7">
        <v>700000</v>
      </c>
      <c r="W116" s="7">
        <v>800000</v>
      </c>
      <c r="X116" s="7">
        <v>800000</v>
      </c>
      <c r="Y116" s="7">
        <v>800000</v>
      </c>
      <c r="Z116" s="7">
        <v>800000</v>
      </c>
      <c r="AA116" s="7">
        <v>800000</v>
      </c>
      <c r="AB116" s="7">
        <v>900000</v>
      </c>
      <c r="AC116" s="7">
        <v>900000</v>
      </c>
      <c r="AD116" s="7">
        <v>1000000</v>
      </c>
      <c r="AE116" s="7">
        <v>1000000</v>
      </c>
      <c r="AF116" s="7">
        <v>1000000</v>
      </c>
      <c r="AG116" s="7">
        <v>1200000</v>
      </c>
      <c r="AH116" s="7">
        <v>1500000</v>
      </c>
    </row>
    <row r="117" spans="1:34" x14ac:dyDescent="0.25">
      <c r="A117" s="43" t="s">
        <v>866</v>
      </c>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v>500000</v>
      </c>
      <c r="AE117" s="7">
        <v>500000</v>
      </c>
      <c r="AF117" s="7">
        <v>500000</v>
      </c>
      <c r="AG117" s="7">
        <v>500000</v>
      </c>
      <c r="AH117" s="7">
        <v>500000</v>
      </c>
    </row>
    <row r="118" spans="1:34" x14ac:dyDescent="0.25">
      <c r="A118" s="43"/>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row>
    <row r="119" spans="1:34" x14ac:dyDescent="0.25">
      <c r="A119" s="43" t="s">
        <v>869</v>
      </c>
      <c r="B119" s="7"/>
      <c r="C119" s="7"/>
      <c r="D119" s="7"/>
      <c r="E119" s="7"/>
      <c r="F119" s="7"/>
      <c r="G119" s="7"/>
      <c r="H119" s="7"/>
      <c r="I119" s="7"/>
      <c r="J119" s="7">
        <v>30000</v>
      </c>
      <c r="K119" s="7"/>
      <c r="L119" s="7">
        <v>50000</v>
      </c>
      <c r="M119" s="7">
        <v>200000</v>
      </c>
      <c r="N119" s="7">
        <v>400000</v>
      </c>
      <c r="O119" s="7">
        <v>200000</v>
      </c>
      <c r="P119" s="7">
        <v>305660</v>
      </c>
      <c r="Q119" s="7">
        <v>200000</v>
      </c>
      <c r="R119" s="7">
        <v>400000</v>
      </c>
      <c r="S119" s="7">
        <v>400000</v>
      </c>
      <c r="T119" s="7">
        <v>400000</v>
      </c>
      <c r="U119" s="7"/>
      <c r="V119" s="7">
        <v>490000</v>
      </c>
      <c r="W119" s="7">
        <v>500000</v>
      </c>
      <c r="X119" s="7">
        <v>500000</v>
      </c>
      <c r="Y119" s="7">
        <v>500000</v>
      </c>
      <c r="Z119" s="7">
        <v>500000</v>
      </c>
      <c r="AA119" s="7">
        <v>500000</v>
      </c>
      <c r="AB119" s="7">
        <v>500000</v>
      </c>
      <c r="AC119" s="7">
        <v>600000</v>
      </c>
      <c r="AD119" s="7">
        <v>800000</v>
      </c>
      <c r="AE119" s="7">
        <v>800000</v>
      </c>
      <c r="AF119" s="7">
        <v>800000</v>
      </c>
      <c r="AG119" s="7">
        <v>1200000</v>
      </c>
      <c r="AH119" s="7">
        <v>1200000</v>
      </c>
    </row>
    <row r="120" spans="1:34" x14ac:dyDescent="0.25">
      <c r="A120" s="43" t="s">
        <v>870</v>
      </c>
      <c r="B120" s="7"/>
      <c r="C120" s="7">
        <v>25000</v>
      </c>
      <c r="D120" s="7">
        <v>30000</v>
      </c>
      <c r="E120" s="7"/>
      <c r="F120" s="7">
        <v>35000</v>
      </c>
      <c r="G120" s="7">
        <v>40000</v>
      </c>
      <c r="H120" s="7">
        <v>40000</v>
      </c>
      <c r="I120" s="7">
        <v>40000</v>
      </c>
      <c r="J120" s="7">
        <v>60000</v>
      </c>
      <c r="K120" s="7"/>
      <c r="L120" s="7">
        <v>20000</v>
      </c>
      <c r="M120" s="7">
        <v>100300</v>
      </c>
      <c r="N120" s="7">
        <v>200000</v>
      </c>
      <c r="O120" s="7">
        <v>100000</v>
      </c>
      <c r="P120" s="7">
        <v>10000</v>
      </c>
      <c r="Q120" s="7">
        <v>200000</v>
      </c>
      <c r="R120" s="7">
        <v>300000</v>
      </c>
      <c r="S120" s="7">
        <v>300000</v>
      </c>
      <c r="T120" s="7">
        <v>300000</v>
      </c>
      <c r="U120" s="7"/>
      <c r="V120" s="7">
        <v>200000</v>
      </c>
      <c r="W120" s="7">
        <v>200000</v>
      </c>
      <c r="X120" s="7">
        <v>200000</v>
      </c>
      <c r="Y120" s="7">
        <v>200000</v>
      </c>
      <c r="Z120" s="7">
        <v>200000</v>
      </c>
      <c r="AA120" s="7">
        <v>200000</v>
      </c>
      <c r="AB120" s="7">
        <v>250000</v>
      </c>
      <c r="AC120" s="7">
        <v>400000</v>
      </c>
      <c r="AD120" s="7">
        <v>500000</v>
      </c>
      <c r="AE120" s="7">
        <v>500000</v>
      </c>
      <c r="AF120" s="7">
        <v>800000</v>
      </c>
      <c r="AG120" s="7">
        <v>1000000</v>
      </c>
      <c r="AH120" s="7">
        <v>1000000</v>
      </c>
    </row>
    <row r="121" spans="1:34" x14ac:dyDescent="0.25">
      <c r="A121" s="43" t="s">
        <v>871</v>
      </c>
      <c r="B121" s="7"/>
      <c r="C121" s="7"/>
      <c r="D121" s="7"/>
      <c r="E121" s="7"/>
      <c r="F121" s="7"/>
      <c r="G121" s="7"/>
      <c r="H121" s="7"/>
      <c r="I121" s="7"/>
      <c r="J121" s="7"/>
      <c r="K121" s="7"/>
      <c r="L121" s="7"/>
      <c r="M121" s="7"/>
      <c r="N121" s="7"/>
      <c r="O121" s="7"/>
      <c r="P121" s="7"/>
      <c r="Q121" s="7"/>
      <c r="R121" s="7"/>
      <c r="S121" s="7"/>
      <c r="T121" s="7">
        <v>1800000</v>
      </c>
      <c r="U121" s="7"/>
      <c r="V121" s="7">
        <v>2000000</v>
      </c>
      <c r="W121" s="7">
        <v>2500000</v>
      </c>
      <c r="X121" s="7">
        <v>2300000</v>
      </c>
      <c r="Y121" s="7">
        <v>2200000</v>
      </c>
      <c r="Z121" s="7">
        <v>2450000</v>
      </c>
      <c r="AA121" s="7">
        <v>2500000</v>
      </c>
      <c r="AB121" s="7">
        <v>2500000</v>
      </c>
      <c r="AC121" s="7">
        <v>2800000</v>
      </c>
      <c r="AD121" s="7">
        <v>3000000</v>
      </c>
      <c r="AE121" s="7">
        <v>3000000</v>
      </c>
      <c r="AF121" s="7">
        <v>3200000</v>
      </c>
      <c r="AG121" s="7">
        <v>4500000</v>
      </c>
      <c r="AH121" s="7">
        <v>5600000</v>
      </c>
    </row>
    <row r="122" spans="1:34" x14ac:dyDescent="0.25">
      <c r="A122" s="43" t="s">
        <v>872</v>
      </c>
      <c r="B122" s="7"/>
      <c r="C122" s="7">
        <v>278054</v>
      </c>
      <c r="D122" s="7">
        <v>750280</v>
      </c>
      <c r="E122" s="7"/>
      <c r="F122" s="7">
        <v>1901773</v>
      </c>
      <c r="G122" s="7">
        <v>771942</v>
      </c>
      <c r="H122" s="7">
        <v>349863</v>
      </c>
      <c r="I122" s="7">
        <v>1076899</v>
      </c>
      <c r="J122" s="7">
        <v>846800</v>
      </c>
      <c r="K122" s="7"/>
      <c r="L122" s="7">
        <v>1681539</v>
      </c>
      <c r="M122" s="7">
        <f>1294640+400000</f>
        <v>1694640</v>
      </c>
      <c r="N122" s="7">
        <v>3443473</v>
      </c>
      <c r="O122" s="7">
        <v>5238786</v>
      </c>
      <c r="P122" s="7">
        <v>1004910</v>
      </c>
      <c r="Q122" s="7">
        <v>3218733</v>
      </c>
      <c r="R122" s="7">
        <v>4883067</v>
      </c>
      <c r="S122" s="7">
        <v>9831940</v>
      </c>
      <c r="T122" s="7">
        <v>7098877</v>
      </c>
      <c r="U122" s="7"/>
      <c r="V122" s="7">
        <v>4656029</v>
      </c>
      <c r="W122" s="7">
        <v>7677896</v>
      </c>
      <c r="X122" s="7">
        <v>6777032</v>
      </c>
      <c r="Y122" s="7">
        <v>6125130</v>
      </c>
      <c r="Z122" s="7">
        <v>6794053</v>
      </c>
      <c r="AA122" s="7">
        <v>5677129</v>
      </c>
      <c r="AB122" s="7">
        <v>4963676</v>
      </c>
      <c r="AC122" s="7">
        <v>13881506</v>
      </c>
      <c r="AD122" s="7">
        <v>9437000</v>
      </c>
      <c r="AE122" s="7">
        <v>14544229</v>
      </c>
      <c r="AF122" s="7">
        <f>29801367</f>
        <v>29801367</v>
      </c>
      <c r="AG122" s="7">
        <f>1500000+10000000+20689574</f>
        <v>32189574</v>
      </c>
      <c r="AH122" s="7">
        <f>1500000+10000000+17565844</f>
        <v>29065844</v>
      </c>
    </row>
    <row r="123" spans="1:34" x14ac:dyDescent="0.25">
      <c r="A123" s="43"/>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row>
    <row r="124" spans="1:34" x14ac:dyDescent="0.25">
      <c r="A124" s="43" t="s">
        <v>309</v>
      </c>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v>1740010</v>
      </c>
      <c r="AF124" s="7">
        <v>4203920</v>
      </c>
      <c r="AG124" s="7"/>
      <c r="AH124" s="7"/>
    </row>
    <row r="125" spans="1:34" x14ac:dyDescent="0.25">
      <c r="A125" s="43" t="s">
        <v>873</v>
      </c>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row>
    <row r="126" spans="1:34" x14ac:dyDescent="0.25">
      <c r="A126" s="43" t="s">
        <v>691</v>
      </c>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row>
    <row r="127" spans="1:34" x14ac:dyDescent="0.25">
      <c r="A127" s="43" t="s">
        <v>308</v>
      </c>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v>130000</v>
      </c>
      <c r="AD127" s="7"/>
      <c r="AE127" s="7">
        <v>130000</v>
      </c>
      <c r="AF127" s="7">
        <v>150000</v>
      </c>
      <c r="AG127" s="7">
        <v>150000</v>
      </c>
      <c r="AH127" s="7"/>
    </row>
    <row r="128" spans="1:34" x14ac:dyDescent="0.25">
      <c r="A128" s="43" t="s">
        <v>300</v>
      </c>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v>581386</v>
      </c>
      <c r="AC128" s="7">
        <v>3000000</v>
      </c>
      <c r="AD128" s="7">
        <v>3500000</v>
      </c>
      <c r="AE128" s="7">
        <v>3500000</v>
      </c>
      <c r="AF128" s="7">
        <v>3500000</v>
      </c>
      <c r="AG128" s="7">
        <v>3500000</v>
      </c>
      <c r="AH128" s="7">
        <v>4000000</v>
      </c>
    </row>
    <row r="129" spans="1:34" x14ac:dyDescent="0.25">
      <c r="A129" s="43"/>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row>
    <row r="130" spans="1:34" x14ac:dyDescent="0.25">
      <c r="A130" s="43" t="s">
        <v>874</v>
      </c>
      <c r="B130" s="7">
        <v>121300</v>
      </c>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row>
    <row r="131" spans="1:34" x14ac:dyDescent="0.25">
      <c r="A131" s="43" t="s">
        <v>484</v>
      </c>
      <c r="B131" s="7"/>
      <c r="C131" s="7"/>
      <c r="D131" s="7"/>
      <c r="E131" s="7"/>
      <c r="F131" s="7"/>
      <c r="G131" s="7"/>
      <c r="H131" s="7"/>
      <c r="I131" s="7"/>
      <c r="J131" s="7"/>
      <c r="K131" s="7"/>
      <c r="L131" s="7">
        <v>169069</v>
      </c>
      <c r="M131" s="7">
        <v>300000</v>
      </c>
      <c r="N131" s="7">
        <v>300000</v>
      </c>
      <c r="O131" s="7">
        <v>300000</v>
      </c>
      <c r="P131" s="7">
        <v>123230</v>
      </c>
      <c r="Q131" s="7">
        <v>300000</v>
      </c>
      <c r="R131" s="7">
        <v>300000</v>
      </c>
      <c r="S131" s="7">
        <v>400000</v>
      </c>
      <c r="T131" s="7">
        <v>400000</v>
      </c>
      <c r="U131" s="7"/>
      <c r="V131" s="7"/>
      <c r="W131" s="7"/>
      <c r="X131" s="7"/>
      <c r="Y131" s="7"/>
      <c r="Z131" s="7"/>
      <c r="AA131" s="7"/>
      <c r="AB131" s="7"/>
      <c r="AC131" s="7"/>
      <c r="AD131" s="7"/>
      <c r="AE131" s="7"/>
      <c r="AF131" s="7"/>
      <c r="AG131" s="7">
        <v>200000</v>
      </c>
      <c r="AH131" s="7">
        <v>200000</v>
      </c>
    </row>
    <row r="132" spans="1:34" x14ac:dyDescent="0.25">
      <c r="A132" s="43" t="s">
        <v>485</v>
      </c>
      <c r="B132" s="7"/>
      <c r="C132" s="7"/>
      <c r="D132" s="7"/>
      <c r="E132" s="7"/>
      <c r="F132" s="7"/>
      <c r="G132" s="7"/>
      <c r="H132" s="7"/>
      <c r="I132" s="7"/>
      <c r="J132" s="7"/>
      <c r="K132" s="7"/>
      <c r="L132" s="7"/>
      <c r="M132" s="7"/>
      <c r="N132" s="7"/>
      <c r="O132" s="7"/>
      <c r="P132" s="7"/>
      <c r="Q132" s="7"/>
      <c r="R132" s="7"/>
      <c r="S132" s="7"/>
      <c r="T132" s="7"/>
      <c r="U132" s="7"/>
      <c r="V132" s="7">
        <f>100000</f>
        <v>100000</v>
      </c>
      <c r="W132" s="7">
        <f>200000</f>
        <v>200000</v>
      </c>
      <c r="X132" s="7">
        <f>400000</f>
        <v>400000</v>
      </c>
      <c r="Y132" s="7">
        <f>400000</f>
        <v>400000</v>
      </c>
      <c r="Z132" s="7">
        <f>400000</f>
        <v>400000</v>
      </c>
      <c r="AA132" s="7">
        <f>400000</f>
        <v>400000</v>
      </c>
      <c r="AB132" s="7">
        <f>400000</f>
        <v>400000</v>
      </c>
      <c r="AC132" s="7">
        <f>193050</f>
        <v>193050</v>
      </c>
      <c r="AD132" s="7">
        <v>400000</v>
      </c>
      <c r="AE132" s="7">
        <v>400000</v>
      </c>
      <c r="AF132" s="7">
        <v>800000</v>
      </c>
      <c r="AG132" s="7">
        <v>800000</v>
      </c>
      <c r="AH132" s="7">
        <v>1000000</v>
      </c>
    </row>
    <row r="133" spans="1:34" x14ac:dyDescent="0.25">
      <c r="A133" s="43" t="s">
        <v>482</v>
      </c>
      <c r="B133" s="7"/>
      <c r="C133" s="7"/>
      <c r="D133" s="7"/>
      <c r="E133" s="7"/>
      <c r="F133" s="7"/>
      <c r="G133" s="7"/>
      <c r="H133" s="7"/>
      <c r="I133" s="7"/>
      <c r="J133" s="7">
        <v>177848</v>
      </c>
      <c r="K133" s="7"/>
      <c r="L133" s="7">
        <v>173098</v>
      </c>
      <c r="M133" s="7">
        <v>200050</v>
      </c>
      <c r="N133" s="7">
        <v>200000</v>
      </c>
      <c r="O133" s="7">
        <v>100000</v>
      </c>
      <c r="P133" s="7">
        <v>416081</v>
      </c>
      <c r="Q133" s="7">
        <v>200000</v>
      </c>
      <c r="R133" s="7">
        <v>250000</v>
      </c>
      <c r="S133" s="7">
        <v>300000</v>
      </c>
      <c r="T133" s="7">
        <v>300000</v>
      </c>
      <c r="U133" s="7"/>
      <c r="V133" s="7">
        <v>100000</v>
      </c>
      <c r="W133" s="7">
        <v>100000</v>
      </c>
      <c r="X133" s="7">
        <v>100000</v>
      </c>
      <c r="Y133" s="7">
        <v>100000</v>
      </c>
      <c r="Z133" s="7">
        <v>100000</v>
      </c>
      <c r="AA133" s="7">
        <v>100000</v>
      </c>
      <c r="AB133" s="7">
        <v>100000</v>
      </c>
      <c r="AC133" s="7">
        <v>100000</v>
      </c>
      <c r="AD133" s="7">
        <v>100000</v>
      </c>
      <c r="AE133" s="7">
        <v>100000</v>
      </c>
      <c r="AF133" s="7">
        <v>100000</v>
      </c>
      <c r="AG133" s="7">
        <v>100000</v>
      </c>
      <c r="AH133" s="7">
        <v>100000</v>
      </c>
    </row>
    <row r="134" spans="1:34" x14ac:dyDescent="0.25">
      <c r="A134" s="43" t="s">
        <v>875</v>
      </c>
      <c r="B134" s="7"/>
      <c r="C134" s="7">
        <v>10000</v>
      </c>
      <c r="D134" s="7">
        <v>20000</v>
      </c>
      <c r="E134" s="7"/>
      <c r="F134" s="7">
        <v>30000</v>
      </c>
      <c r="G134" s="7">
        <v>20000</v>
      </c>
      <c r="H134" s="7">
        <f>20000+30000+5000</f>
        <v>55000</v>
      </c>
      <c r="I134" s="7">
        <v>84272</v>
      </c>
      <c r="J134" s="7">
        <v>70000</v>
      </c>
      <c r="K134" s="7"/>
      <c r="L134" s="7">
        <v>89120</v>
      </c>
      <c r="M134" s="7">
        <v>100200</v>
      </c>
      <c r="N134" s="7">
        <v>150000</v>
      </c>
      <c r="O134" s="7">
        <v>150000</v>
      </c>
      <c r="P134" s="7">
        <v>89160</v>
      </c>
      <c r="Q134" s="7">
        <v>150000</v>
      </c>
      <c r="R134" s="7">
        <v>200000</v>
      </c>
      <c r="S134" s="7">
        <v>200000</v>
      </c>
      <c r="T134" s="7">
        <v>200000</v>
      </c>
      <c r="U134" s="7"/>
      <c r="V134" s="7">
        <v>300000</v>
      </c>
      <c r="W134" s="7">
        <v>400000</v>
      </c>
      <c r="X134" s="7">
        <v>400000</v>
      </c>
      <c r="Y134" s="7">
        <v>400000</v>
      </c>
      <c r="Z134" s="7">
        <v>400000</v>
      </c>
      <c r="AA134" s="7">
        <v>400000</v>
      </c>
      <c r="AB134" s="7">
        <v>400000</v>
      </c>
      <c r="AC134" s="7">
        <v>400000</v>
      </c>
      <c r="AD134" s="7">
        <v>400000</v>
      </c>
      <c r="AE134" s="7">
        <v>400000</v>
      </c>
      <c r="AF134" s="7">
        <v>400000</v>
      </c>
      <c r="AG134" s="7">
        <v>600000</v>
      </c>
      <c r="AH134" s="7">
        <v>600000</v>
      </c>
    </row>
    <row r="135" spans="1:34" x14ac:dyDescent="0.25">
      <c r="A135" s="43" t="s">
        <v>876</v>
      </c>
      <c r="B135" s="7"/>
      <c r="C135" s="7"/>
      <c r="D135" s="7"/>
      <c r="E135" s="7"/>
      <c r="F135" s="7">
        <v>20000</v>
      </c>
      <c r="G135" s="7">
        <v>20000</v>
      </c>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row>
    <row r="136" spans="1:34" x14ac:dyDescent="0.25">
      <c r="A136" s="43"/>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row>
    <row r="137" spans="1:34" x14ac:dyDescent="0.25">
      <c r="A137" s="43" t="s">
        <v>858</v>
      </c>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row>
    <row r="138" spans="1:34" x14ac:dyDescent="0.25">
      <c r="A138" s="43" t="s">
        <v>860</v>
      </c>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row>
    <row r="139" spans="1:34" x14ac:dyDescent="0.25">
      <c r="A139" s="43" t="s">
        <v>859</v>
      </c>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row>
    <row r="140" spans="1:34" x14ac:dyDescent="0.25">
      <c r="A140" s="43"/>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row>
    <row r="141" spans="1:34" ht="30" x14ac:dyDescent="0.25">
      <c r="A141" s="43" t="s">
        <v>879</v>
      </c>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v>480000</v>
      </c>
      <c r="AB141" s="7">
        <v>480000</v>
      </c>
      <c r="AC141" s="7">
        <v>480000</v>
      </c>
      <c r="AD141" s="7">
        <v>200000</v>
      </c>
      <c r="AE141" s="7"/>
      <c r="AF141" s="7">
        <v>480000</v>
      </c>
      <c r="AG141" s="7"/>
      <c r="AH141" s="7"/>
    </row>
    <row r="142" spans="1:34" x14ac:dyDescent="0.25">
      <c r="A142" s="43" t="s">
        <v>877</v>
      </c>
      <c r="B142" s="7"/>
      <c r="C142" s="7"/>
      <c r="D142" s="7"/>
      <c r="E142" s="7"/>
      <c r="F142" s="7"/>
      <c r="G142" s="7"/>
      <c r="H142" s="7"/>
      <c r="I142" s="7"/>
      <c r="J142" s="7"/>
      <c r="K142" s="7"/>
      <c r="L142" s="7">
        <v>50460</v>
      </c>
      <c r="M142" s="7">
        <v>99000</v>
      </c>
      <c r="N142" s="7">
        <v>100000</v>
      </c>
      <c r="O142" s="7">
        <v>100000</v>
      </c>
      <c r="P142" s="7">
        <v>60500</v>
      </c>
      <c r="Q142" s="7">
        <v>100000</v>
      </c>
      <c r="R142" s="7">
        <v>150000</v>
      </c>
      <c r="S142" s="7">
        <v>150000</v>
      </c>
      <c r="T142" s="7">
        <v>150000</v>
      </c>
      <c r="U142" s="7"/>
      <c r="V142" s="7">
        <v>190000</v>
      </c>
      <c r="W142" s="7">
        <v>200000</v>
      </c>
      <c r="X142" s="7">
        <v>200000</v>
      </c>
      <c r="Y142" s="7">
        <v>200000</v>
      </c>
      <c r="Z142" s="7">
        <v>200000</v>
      </c>
      <c r="AA142" s="7">
        <v>200000</v>
      </c>
      <c r="AB142" s="7">
        <v>200000</v>
      </c>
      <c r="AC142" s="7">
        <v>200000</v>
      </c>
      <c r="AD142" s="7">
        <v>200000</v>
      </c>
      <c r="AE142" s="7">
        <v>200000</v>
      </c>
      <c r="AF142" s="7">
        <v>200000</v>
      </c>
      <c r="AG142" s="7"/>
      <c r="AH142" s="7"/>
    </row>
    <row r="143" spans="1:34" x14ac:dyDescent="0.25">
      <c r="A143" s="43" t="s">
        <v>862</v>
      </c>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v>200000</v>
      </c>
      <c r="AH143" s="7">
        <v>200000</v>
      </c>
    </row>
    <row r="144" spans="1:34" x14ac:dyDescent="0.25">
      <c r="A144" s="43" t="s">
        <v>861</v>
      </c>
      <c r="B144" s="7"/>
      <c r="C144" s="7"/>
      <c r="D144" s="7"/>
      <c r="E144" s="7"/>
      <c r="F144" s="7"/>
      <c r="G144" s="7"/>
      <c r="H144" s="7"/>
      <c r="I144" s="7"/>
      <c r="J144" s="7"/>
      <c r="K144" s="7"/>
      <c r="L144" s="7"/>
      <c r="M144" s="7"/>
      <c r="N144" s="7"/>
      <c r="O144" s="7"/>
      <c r="P144" s="7"/>
      <c r="Q144" s="7"/>
      <c r="R144" s="7"/>
      <c r="S144" s="7"/>
      <c r="T144" s="7"/>
      <c r="U144" s="7"/>
      <c r="V144" s="7">
        <v>400000</v>
      </c>
      <c r="W144" s="7">
        <v>400000</v>
      </c>
      <c r="X144" s="7">
        <v>250000</v>
      </c>
      <c r="Y144" s="7">
        <v>400000</v>
      </c>
      <c r="Z144" s="7">
        <v>400000</v>
      </c>
      <c r="AA144" s="7">
        <v>400000</v>
      </c>
      <c r="AB144" s="7">
        <v>105000</v>
      </c>
      <c r="AC144" s="7">
        <v>506000</v>
      </c>
      <c r="AD144" s="7">
        <v>600000</v>
      </c>
      <c r="AE144" s="7">
        <v>600000</v>
      </c>
      <c r="AF144" s="7">
        <v>500000</v>
      </c>
      <c r="AG144" s="7">
        <v>500000</v>
      </c>
      <c r="AH144" s="7">
        <v>600000</v>
      </c>
    </row>
    <row r="145" spans="1:34" x14ac:dyDescent="0.25">
      <c r="A145" s="43" t="s">
        <v>898</v>
      </c>
      <c r="B145" s="7"/>
      <c r="C145" s="7">
        <v>23000</v>
      </c>
      <c r="D145" s="7">
        <v>60000</v>
      </c>
      <c r="E145" s="7"/>
      <c r="F145" s="7">
        <v>100000</v>
      </c>
      <c r="G145" s="7">
        <v>30000</v>
      </c>
      <c r="H145" s="7"/>
      <c r="I145" s="7"/>
      <c r="J145" s="7">
        <v>30000</v>
      </c>
      <c r="K145" s="7"/>
      <c r="L145" s="7"/>
      <c r="M145" s="7"/>
      <c r="N145" s="7"/>
      <c r="O145" s="7"/>
      <c r="P145" s="7"/>
      <c r="Q145" s="7"/>
      <c r="R145" s="7"/>
      <c r="S145" s="7"/>
      <c r="T145" s="7"/>
      <c r="U145" s="7"/>
      <c r="V145" s="7"/>
      <c r="W145" s="7"/>
      <c r="X145" s="7"/>
      <c r="Y145" s="7"/>
      <c r="Z145" s="7"/>
      <c r="AA145" s="7"/>
      <c r="AB145" s="7"/>
      <c r="AC145" s="7"/>
      <c r="AD145" s="7"/>
      <c r="AE145" s="7"/>
      <c r="AF145" s="7"/>
      <c r="AG145" s="7"/>
      <c r="AH145" s="7"/>
    </row>
    <row r="146" spans="1:34" x14ac:dyDescent="0.25">
      <c r="A146" s="43" t="s">
        <v>878</v>
      </c>
      <c r="B146" s="7"/>
      <c r="C146" s="7"/>
      <c r="D146" s="7"/>
      <c r="E146" s="7"/>
      <c r="F146" s="7"/>
      <c r="G146" s="7"/>
      <c r="H146" s="7"/>
      <c r="I146" s="7">
        <v>90800</v>
      </c>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row>
    <row r="147" spans="1:34" x14ac:dyDescent="0.25">
      <c r="A147" s="43"/>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row>
    <row r="148" spans="1:34" x14ac:dyDescent="0.25">
      <c r="A148" s="43" t="s">
        <v>863</v>
      </c>
      <c r="B148" s="7"/>
      <c r="C148" s="7"/>
      <c r="D148" s="7"/>
      <c r="E148" s="7"/>
      <c r="F148" s="7"/>
      <c r="G148" s="7"/>
      <c r="H148" s="7">
        <v>50000</v>
      </c>
      <c r="I148" s="7">
        <v>194100</v>
      </c>
      <c r="J148" s="7">
        <v>121069</v>
      </c>
      <c r="K148" s="7"/>
      <c r="L148" s="7">
        <v>152160</v>
      </c>
      <c r="M148" s="7">
        <v>150000</v>
      </c>
      <c r="N148" s="7">
        <v>200000</v>
      </c>
      <c r="O148" s="7">
        <v>100000</v>
      </c>
      <c r="P148" s="7">
        <v>135960</v>
      </c>
      <c r="Q148" s="7">
        <v>100000</v>
      </c>
      <c r="R148" s="7">
        <v>300000</v>
      </c>
      <c r="S148" s="7">
        <v>300000</v>
      </c>
      <c r="T148" s="7">
        <v>300000</v>
      </c>
      <c r="U148" s="7"/>
      <c r="V148" s="7">
        <v>700000</v>
      </c>
      <c r="W148" s="7">
        <v>1000000</v>
      </c>
      <c r="X148" s="7">
        <v>756664</v>
      </c>
      <c r="Y148" s="7">
        <v>404200</v>
      </c>
      <c r="Z148" s="7">
        <v>255200</v>
      </c>
      <c r="AA148" s="7">
        <v>846260</v>
      </c>
      <c r="AB148" s="7">
        <v>235720</v>
      </c>
      <c r="AC148" s="7">
        <v>492000</v>
      </c>
      <c r="AD148" s="7">
        <v>1000000</v>
      </c>
      <c r="AE148" s="7">
        <v>1000000</v>
      </c>
      <c r="AF148" s="7">
        <v>1000000</v>
      </c>
      <c r="AG148" s="7">
        <v>1000000</v>
      </c>
      <c r="AH148" s="7">
        <v>1500000</v>
      </c>
    </row>
    <row r="149" spans="1:34" x14ac:dyDescent="0.25">
      <c r="A149" s="43" t="s">
        <v>864</v>
      </c>
      <c r="B149" s="7"/>
      <c r="C149" s="7"/>
      <c r="D149" s="7"/>
      <c r="E149" s="7"/>
      <c r="F149" s="7"/>
      <c r="G149" s="7"/>
      <c r="H149" s="7"/>
      <c r="I149" s="7"/>
      <c r="J149" s="7"/>
      <c r="K149" s="7"/>
      <c r="L149" s="7"/>
      <c r="M149" s="7"/>
      <c r="N149" s="7"/>
      <c r="O149" s="7"/>
      <c r="P149" s="7"/>
      <c r="Q149" s="7"/>
      <c r="R149" s="7"/>
      <c r="S149" s="7"/>
      <c r="T149" s="7"/>
      <c r="U149" s="7"/>
      <c r="V149" s="7">
        <v>500000</v>
      </c>
      <c r="W149" s="7">
        <v>400000</v>
      </c>
      <c r="X149" s="7">
        <v>600000</v>
      </c>
      <c r="Y149" s="7">
        <v>600000</v>
      </c>
      <c r="Z149" s="7">
        <v>600000</v>
      </c>
      <c r="AA149" s="7">
        <v>600000</v>
      </c>
      <c r="AB149" s="7">
        <v>600000</v>
      </c>
      <c r="AC149" s="7">
        <v>600000</v>
      </c>
      <c r="AD149" s="7">
        <v>600000</v>
      </c>
      <c r="AE149" s="7">
        <v>600000</v>
      </c>
      <c r="AF149" s="7"/>
      <c r="AG149" s="7"/>
      <c r="AH149" s="7"/>
    </row>
    <row r="150" spans="1:34" x14ac:dyDescent="0.25">
      <c r="A150" s="43"/>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row>
    <row r="151" spans="1:34" x14ac:dyDescent="0.25">
      <c r="A151" s="43"/>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row>
    <row r="152" spans="1:34" x14ac:dyDescent="0.25">
      <c r="A152" s="89" t="s">
        <v>137</v>
      </c>
      <c r="B152" s="8">
        <f t="shared" ref="B152:J152" si="3">SUM(B98:B150)</f>
        <v>541300</v>
      </c>
      <c r="C152" s="8">
        <f t="shared" si="3"/>
        <v>756054</v>
      </c>
      <c r="D152" s="8">
        <f t="shared" si="3"/>
        <v>1280280</v>
      </c>
      <c r="E152" s="8">
        <f t="shared" si="3"/>
        <v>0</v>
      </c>
      <c r="F152" s="8">
        <f t="shared" si="3"/>
        <v>2506773</v>
      </c>
      <c r="G152" s="8">
        <f t="shared" si="3"/>
        <v>1301942</v>
      </c>
      <c r="H152" s="8">
        <f t="shared" si="3"/>
        <v>949927</v>
      </c>
      <c r="I152" s="8">
        <f t="shared" si="3"/>
        <v>2262547</v>
      </c>
      <c r="J152" s="8">
        <f t="shared" si="3"/>
        <v>2420611</v>
      </c>
      <c r="K152" s="8"/>
      <c r="L152" s="8">
        <f t="shared" ref="L152:AH152" si="4">SUM(L98:L150)</f>
        <v>3510512</v>
      </c>
      <c r="M152" s="8">
        <f t="shared" si="4"/>
        <v>4285069</v>
      </c>
      <c r="N152" s="8">
        <f t="shared" si="4"/>
        <v>6692429</v>
      </c>
      <c r="O152" s="8">
        <f t="shared" si="4"/>
        <v>7875546</v>
      </c>
      <c r="P152" s="8">
        <f t="shared" si="4"/>
        <v>3727404</v>
      </c>
      <c r="Q152" s="8">
        <f t="shared" si="4"/>
        <v>6673610</v>
      </c>
      <c r="R152" s="8">
        <f t="shared" si="4"/>
        <v>9361457</v>
      </c>
      <c r="S152" s="8">
        <f t="shared" si="4"/>
        <v>15521335</v>
      </c>
      <c r="T152" s="8">
        <f t="shared" si="4"/>
        <v>14551491</v>
      </c>
      <c r="U152" s="8">
        <f t="shared" si="4"/>
        <v>0</v>
      </c>
      <c r="V152" s="8">
        <f t="shared" si="4"/>
        <v>13484052</v>
      </c>
      <c r="W152" s="8">
        <f t="shared" si="4"/>
        <v>17758488</v>
      </c>
      <c r="X152" s="8">
        <f t="shared" si="4"/>
        <v>16872844</v>
      </c>
      <c r="Y152" s="8">
        <f t="shared" si="4"/>
        <v>15762420</v>
      </c>
      <c r="Z152" s="8">
        <f t="shared" si="4"/>
        <v>17874261</v>
      </c>
      <c r="AA152" s="8">
        <f t="shared" si="4"/>
        <v>18161480</v>
      </c>
      <c r="AB152" s="8">
        <f t="shared" si="4"/>
        <v>17725575</v>
      </c>
      <c r="AC152" s="8">
        <f t="shared" si="4"/>
        <v>30917234</v>
      </c>
      <c r="AD152" s="8">
        <f t="shared" si="4"/>
        <v>29630000</v>
      </c>
      <c r="AE152" s="8">
        <f t="shared" si="4"/>
        <v>37001721</v>
      </c>
      <c r="AF152" s="8">
        <f t="shared" si="4"/>
        <v>56834728</v>
      </c>
      <c r="AG152" s="8">
        <f t="shared" si="4"/>
        <v>59882754</v>
      </c>
      <c r="AH152" s="8">
        <f t="shared" si="4"/>
        <v>60284632</v>
      </c>
    </row>
    <row r="153" spans="1:34" x14ac:dyDescent="0.25">
      <c r="A153" s="89"/>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row>
    <row r="154" spans="1:34" x14ac:dyDescent="0.25">
      <c r="A154" s="89" t="s">
        <v>621</v>
      </c>
      <c r="B154" s="8">
        <f t="shared" ref="B154:J154" si="5">B152-B98</f>
        <v>541300</v>
      </c>
      <c r="C154" s="8">
        <f t="shared" si="5"/>
        <v>756054</v>
      </c>
      <c r="D154" s="8">
        <f t="shared" si="5"/>
        <v>1280280</v>
      </c>
      <c r="E154" s="8">
        <f t="shared" si="5"/>
        <v>0</v>
      </c>
      <c r="F154" s="8">
        <f t="shared" si="5"/>
        <v>2506773</v>
      </c>
      <c r="G154" s="8">
        <f t="shared" si="5"/>
        <v>1301942</v>
      </c>
      <c r="H154" s="8">
        <f t="shared" si="5"/>
        <v>949927</v>
      </c>
      <c r="I154" s="8">
        <f t="shared" si="5"/>
        <v>2262547</v>
      </c>
      <c r="J154" s="8">
        <f t="shared" si="5"/>
        <v>2420611</v>
      </c>
      <c r="K154" s="8"/>
      <c r="L154" s="8">
        <f t="shared" ref="L154:AH154" si="6">L152-L98</f>
        <v>3510512</v>
      </c>
      <c r="M154" s="8">
        <f t="shared" si="6"/>
        <v>4285069</v>
      </c>
      <c r="N154" s="8">
        <f t="shared" si="6"/>
        <v>6692429</v>
      </c>
      <c r="O154" s="8">
        <f t="shared" si="6"/>
        <v>7875546</v>
      </c>
      <c r="P154" s="8">
        <f t="shared" si="6"/>
        <v>3727404</v>
      </c>
      <c r="Q154" s="8">
        <f t="shared" si="6"/>
        <v>6673610</v>
      </c>
      <c r="R154" s="8">
        <f t="shared" si="6"/>
        <v>9361457</v>
      </c>
      <c r="S154" s="8">
        <f t="shared" si="6"/>
        <v>15521335</v>
      </c>
      <c r="T154" s="8">
        <f t="shared" si="6"/>
        <v>14551491</v>
      </c>
      <c r="U154" s="8">
        <f t="shared" si="6"/>
        <v>0</v>
      </c>
      <c r="V154" s="8">
        <f t="shared" si="6"/>
        <v>13484052</v>
      </c>
      <c r="W154" s="8">
        <f t="shared" si="6"/>
        <v>17758488</v>
      </c>
      <c r="X154" s="8">
        <f t="shared" si="6"/>
        <v>16872844</v>
      </c>
      <c r="Y154" s="8">
        <f t="shared" si="6"/>
        <v>15762420</v>
      </c>
      <c r="Z154" s="8">
        <f t="shared" si="6"/>
        <v>17874261</v>
      </c>
      <c r="AA154" s="8">
        <f t="shared" si="6"/>
        <v>18161480</v>
      </c>
      <c r="AB154" s="8">
        <f t="shared" si="6"/>
        <v>17725575</v>
      </c>
      <c r="AC154" s="8">
        <f t="shared" si="6"/>
        <v>30917234</v>
      </c>
      <c r="AD154" s="8">
        <f t="shared" si="6"/>
        <v>29630000</v>
      </c>
      <c r="AE154" s="8">
        <f t="shared" si="6"/>
        <v>36440363</v>
      </c>
      <c r="AF154" s="8">
        <f t="shared" si="6"/>
        <v>56834728</v>
      </c>
      <c r="AG154" s="8">
        <f t="shared" si="6"/>
        <v>59882754</v>
      </c>
      <c r="AH154" s="8">
        <f t="shared" si="6"/>
        <v>60284632</v>
      </c>
    </row>
    <row r="155" spans="1:34" x14ac:dyDescent="0.25">
      <c r="A155" s="89"/>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row>
    <row r="156" spans="1:34" x14ac:dyDescent="0.25">
      <c r="A156" s="90" t="s">
        <v>622</v>
      </c>
      <c r="B156" s="8">
        <f t="shared" ref="B156:J156" si="7">B87</f>
        <v>541300</v>
      </c>
      <c r="C156" s="8">
        <f t="shared" si="7"/>
        <v>706400</v>
      </c>
      <c r="D156" s="8">
        <f t="shared" si="7"/>
        <v>929920</v>
      </c>
      <c r="E156" s="8">
        <f t="shared" si="7"/>
        <v>0</v>
      </c>
      <c r="F156" s="8">
        <f t="shared" si="7"/>
        <v>1241520</v>
      </c>
      <c r="G156" s="8">
        <f t="shared" si="7"/>
        <v>1182000</v>
      </c>
      <c r="H156" s="8">
        <f t="shared" si="7"/>
        <v>945160</v>
      </c>
      <c r="I156" s="8">
        <f t="shared" si="7"/>
        <v>3370581</v>
      </c>
      <c r="J156" s="8">
        <f t="shared" si="7"/>
        <v>3349530</v>
      </c>
      <c r="K156" s="8"/>
      <c r="L156" s="8">
        <f t="shared" ref="L156:AH156" si="8">L87</f>
        <v>4167224</v>
      </c>
      <c r="M156" s="8">
        <f t="shared" si="8"/>
        <v>4854930</v>
      </c>
      <c r="N156" s="8">
        <f t="shared" si="8"/>
        <v>4991300</v>
      </c>
      <c r="O156" s="8">
        <f t="shared" si="8"/>
        <v>4057336</v>
      </c>
      <c r="P156" s="8">
        <f t="shared" si="8"/>
        <v>4015860</v>
      </c>
      <c r="Q156" s="8">
        <f t="shared" si="8"/>
        <v>6707310</v>
      </c>
      <c r="R156" s="8">
        <f t="shared" si="8"/>
        <v>9819920</v>
      </c>
      <c r="S156" s="8">
        <f t="shared" si="8"/>
        <v>15518610</v>
      </c>
      <c r="T156" s="8">
        <f t="shared" si="8"/>
        <v>14189750</v>
      </c>
      <c r="U156" s="8">
        <f t="shared" si="8"/>
        <v>0</v>
      </c>
      <c r="V156" s="8">
        <f t="shared" si="8"/>
        <v>15479282</v>
      </c>
      <c r="W156" s="8">
        <f t="shared" si="8"/>
        <v>15504940</v>
      </c>
      <c r="X156" s="8">
        <f t="shared" si="8"/>
        <v>17113180</v>
      </c>
      <c r="Y156" s="8">
        <f t="shared" si="8"/>
        <v>15762420</v>
      </c>
      <c r="Z156" s="8">
        <f t="shared" si="8"/>
        <v>17837123</v>
      </c>
      <c r="AA156" s="8">
        <f t="shared" si="8"/>
        <v>18161480</v>
      </c>
      <c r="AB156" s="8">
        <f t="shared" si="8"/>
        <v>22671500</v>
      </c>
      <c r="AC156" s="8">
        <f t="shared" si="8"/>
        <v>25851330</v>
      </c>
      <c r="AD156" s="8">
        <f t="shared" si="8"/>
        <v>29630000</v>
      </c>
      <c r="AE156" s="8">
        <f t="shared" si="8"/>
        <v>37015765</v>
      </c>
      <c r="AF156" s="8">
        <f t="shared" si="8"/>
        <v>56834728</v>
      </c>
      <c r="AG156" s="8">
        <f t="shared" si="8"/>
        <v>59882754</v>
      </c>
      <c r="AH156" s="8">
        <f t="shared" si="8"/>
        <v>60389632</v>
      </c>
    </row>
    <row r="157" spans="1:34" x14ac:dyDescent="0.25">
      <c r="A157" s="89"/>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row>
    <row r="158" spans="1:34" x14ac:dyDescent="0.25">
      <c r="A158" s="89" t="s">
        <v>623</v>
      </c>
      <c r="B158" s="45">
        <f>B156-B152</f>
        <v>0</v>
      </c>
      <c r="C158" s="45">
        <f t="shared" ref="C158:AH158" si="9">C156-C152</f>
        <v>-49654</v>
      </c>
      <c r="D158" s="45">
        <f t="shared" si="9"/>
        <v>-350360</v>
      </c>
      <c r="E158" s="45">
        <f t="shared" si="9"/>
        <v>0</v>
      </c>
      <c r="F158" s="45">
        <f t="shared" si="9"/>
        <v>-1265253</v>
      </c>
      <c r="G158" s="45">
        <f t="shared" si="9"/>
        <v>-119942</v>
      </c>
      <c r="H158" s="45">
        <f t="shared" si="9"/>
        <v>-4767</v>
      </c>
      <c r="I158" s="45">
        <f t="shared" si="9"/>
        <v>1108034</v>
      </c>
      <c r="J158" s="45">
        <f t="shared" si="9"/>
        <v>928919</v>
      </c>
      <c r="K158" s="45"/>
      <c r="L158" s="45">
        <f t="shared" si="9"/>
        <v>656712</v>
      </c>
      <c r="M158" s="45">
        <f t="shared" si="9"/>
        <v>569861</v>
      </c>
      <c r="N158" s="45">
        <f t="shared" si="9"/>
        <v>-1701129</v>
      </c>
      <c r="O158" s="45">
        <f t="shared" si="9"/>
        <v>-3818210</v>
      </c>
      <c r="P158" s="45">
        <f t="shared" si="9"/>
        <v>288456</v>
      </c>
      <c r="Q158" s="45">
        <f t="shared" si="9"/>
        <v>33700</v>
      </c>
      <c r="R158" s="45">
        <f t="shared" si="9"/>
        <v>458463</v>
      </c>
      <c r="S158" s="45">
        <f t="shared" si="9"/>
        <v>-2725</v>
      </c>
      <c r="T158" s="45">
        <f t="shared" si="9"/>
        <v>-361741</v>
      </c>
      <c r="U158" s="45">
        <f t="shared" si="9"/>
        <v>0</v>
      </c>
      <c r="V158" s="45">
        <f t="shared" si="9"/>
        <v>1995230</v>
      </c>
      <c r="W158" s="45">
        <f t="shared" si="9"/>
        <v>-2253548</v>
      </c>
      <c r="X158" s="45">
        <f t="shared" si="9"/>
        <v>240336</v>
      </c>
      <c r="Y158" s="45">
        <f t="shared" si="9"/>
        <v>0</v>
      </c>
      <c r="Z158" s="45">
        <f t="shared" si="9"/>
        <v>-37138</v>
      </c>
      <c r="AA158" s="45">
        <f t="shared" si="9"/>
        <v>0</v>
      </c>
      <c r="AB158" s="45">
        <f t="shared" si="9"/>
        <v>4945925</v>
      </c>
      <c r="AC158" s="45">
        <f t="shared" si="9"/>
        <v>-5065904</v>
      </c>
      <c r="AD158" s="45">
        <f t="shared" si="9"/>
        <v>0</v>
      </c>
      <c r="AE158" s="45">
        <f t="shared" si="9"/>
        <v>14044</v>
      </c>
      <c r="AF158" s="45">
        <f t="shared" si="9"/>
        <v>0</v>
      </c>
      <c r="AG158" s="45">
        <f t="shared" si="9"/>
        <v>0</v>
      </c>
      <c r="AH158" s="45">
        <f t="shared" si="9"/>
        <v>105000</v>
      </c>
    </row>
    <row r="159" spans="1:34" x14ac:dyDescent="0.25">
      <c r="A159" s="85"/>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row>
    <row r="160" spans="1:34" x14ac:dyDescent="0.25">
      <c r="A160" s="43"/>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row>
    <row r="161" spans="1:34" x14ac:dyDescent="0.25">
      <c r="A161" s="91"/>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row>
    <row r="162" spans="1:34" x14ac:dyDescent="0.25">
      <c r="A162" s="85"/>
      <c r="B162" s="8"/>
      <c r="C162" s="8"/>
      <c r="D162" s="8"/>
      <c r="E162" s="8"/>
      <c r="F162" s="8"/>
      <c r="G162" s="8"/>
      <c r="H162" s="8"/>
      <c r="I162" s="8"/>
      <c r="J162" s="8"/>
      <c r="K162" s="8"/>
      <c r="L162" s="8"/>
      <c r="M162" s="8"/>
      <c r="N162" s="7"/>
      <c r="O162" s="7"/>
      <c r="P162" s="7"/>
      <c r="Q162" s="7"/>
      <c r="R162" s="7"/>
      <c r="S162" s="7"/>
      <c r="T162" s="7"/>
      <c r="U162" s="7"/>
      <c r="V162" s="7"/>
      <c r="W162" s="7"/>
      <c r="X162" s="7"/>
      <c r="Y162" s="7"/>
      <c r="Z162" s="7"/>
      <c r="AA162" s="7"/>
      <c r="AB162" s="7"/>
      <c r="AC162" s="7"/>
      <c r="AD162" s="7"/>
      <c r="AE162" s="7"/>
      <c r="AF162" s="7"/>
      <c r="AG162" s="7"/>
      <c r="AH162" s="7"/>
    </row>
    <row r="163" spans="1:34" x14ac:dyDescent="0.25">
      <c r="A163" s="84"/>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row>
    <row r="164" spans="1:34" x14ac:dyDescent="0.25">
      <c r="A164" s="43"/>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row>
    <row r="165" spans="1:34" x14ac:dyDescent="0.25">
      <c r="A165" s="43"/>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row>
    <row r="166" spans="1:34" x14ac:dyDescent="0.25">
      <c r="A166" s="43"/>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row>
    <row r="167" spans="1:34" x14ac:dyDescent="0.25">
      <c r="A167" s="43"/>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row>
    <row r="168" spans="1:34" x14ac:dyDescent="0.25">
      <c r="A168" s="43"/>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row>
    <row r="169" spans="1:34" x14ac:dyDescent="0.25">
      <c r="A169" s="43"/>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row>
    <row r="170" spans="1:34" x14ac:dyDescent="0.25">
      <c r="A170" s="43"/>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row>
    <row r="171" spans="1:34" x14ac:dyDescent="0.25">
      <c r="A171" s="43"/>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row>
    <row r="172" spans="1:34" x14ac:dyDescent="0.25">
      <c r="A172" s="43"/>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row>
    <row r="173" spans="1:34" x14ac:dyDescent="0.25">
      <c r="A173" s="43"/>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row>
    <row r="174" spans="1:34" x14ac:dyDescent="0.25">
      <c r="A174" s="43"/>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row>
    <row r="175" spans="1:34" x14ac:dyDescent="0.25">
      <c r="A175" s="43"/>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row>
    <row r="176" spans="1:34" x14ac:dyDescent="0.25">
      <c r="A176" s="43"/>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row>
    <row r="177" spans="1:34" x14ac:dyDescent="0.25">
      <c r="A177" s="43"/>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row>
    <row r="178" spans="1:34" x14ac:dyDescent="0.25">
      <c r="A178" s="43"/>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row>
  </sheetData>
  <sortState ref="A137:BD139">
    <sortCondition ref="A137"/>
  </sortState>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197"/>
  <sheetViews>
    <sheetView showZeros="0" zoomScaleNormal="100" workbookViewId="0">
      <pane xSplit="1" ySplit="7" topLeftCell="B8" activePane="bottomRight" state="frozen"/>
      <selection pane="topRight" activeCell="B1" sqref="B1"/>
      <selection pane="bottomLeft" activeCell="A8" sqref="A8"/>
      <selection pane="bottomRight" activeCell="B8" sqref="B8"/>
    </sheetView>
  </sheetViews>
  <sheetFormatPr defaultColWidth="25.7109375" defaultRowHeight="15" x14ac:dyDescent="0.25"/>
  <cols>
    <col min="1" max="1" width="70.7109375" style="83" customWidth="1"/>
    <col min="2" max="9" width="20.7109375" style="14" customWidth="1"/>
    <col min="10" max="10" width="10.7109375" style="14" customWidth="1"/>
    <col min="11" max="14" width="20.7109375" style="14" customWidth="1"/>
    <col min="15" max="15" width="10.7109375" style="14" customWidth="1"/>
    <col min="16" max="19" width="20.7109375" style="14" customWidth="1"/>
    <col min="20" max="20" width="10.7109375" style="14" customWidth="1"/>
    <col min="21" max="21" width="20.7109375" style="14" customWidth="1"/>
    <col min="22" max="22" width="10.7109375" style="14" customWidth="1"/>
    <col min="23" max="24" width="20.7109375" style="14" customWidth="1"/>
    <col min="25" max="25" width="10.7109375" style="14" customWidth="1"/>
    <col min="26" max="30" width="20.7109375" style="14" customWidth="1"/>
    <col min="31" max="31" width="10.7109375" style="14" customWidth="1"/>
    <col min="32" max="35" width="20.7109375" style="14" customWidth="1"/>
    <col min="36" max="36" width="10.7109375" style="14" customWidth="1"/>
    <col min="37" max="39" width="20.7109375" style="14" customWidth="1"/>
    <col min="40" max="40" width="10.7109375" style="14" customWidth="1"/>
    <col min="41" max="41" width="20.7109375" style="14" customWidth="1"/>
    <col min="42" max="45" width="10.7109375" style="14" customWidth="1"/>
    <col min="46" max="47" width="20.7109375" style="14" customWidth="1"/>
    <col min="48" max="48" width="10.7109375" style="14" customWidth="1"/>
    <col min="49" max="49" width="20.7109375" style="14" customWidth="1"/>
    <col min="50" max="50" width="10.7109375" style="14" customWidth="1"/>
    <col min="51" max="53" width="20.7109375" style="14" customWidth="1"/>
    <col min="54" max="54" width="10.7109375" style="14" customWidth="1"/>
    <col min="55" max="57" width="20.7109375" style="14" customWidth="1"/>
    <col min="58" max="58" width="20.7109375" customWidth="1"/>
  </cols>
  <sheetData>
    <row r="1" spans="1:56" x14ac:dyDescent="0.25">
      <c r="A1" s="78" t="s">
        <v>87</v>
      </c>
    </row>
    <row r="2" spans="1:56" x14ac:dyDescent="0.25">
      <c r="A2" s="79" t="s">
        <v>410</v>
      </c>
      <c r="B2" s="15" t="s">
        <v>1106</v>
      </c>
      <c r="C2" s="16" t="s">
        <v>1107</v>
      </c>
      <c r="D2" s="16" t="s">
        <v>1108</v>
      </c>
      <c r="E2" s="16" t="s">
        <v>1109</v>
      </c>
      <c r="F2" s="16" t="s">
        <v>1110</v>
      </c>
      <c r="G2" s="16" t="s">
        <v>1111</v>
      </c>
      <c r="H2" s="15" t="s">
        <v>1112</v>
      </c>
      <c r="I2" s="15" t="s">
        <v>1112</v>
      </c>
      <c r="J2" s="15"/>
      <c r="K2" s="16" t="s">
        <v>1113</v>
      </c>
      <c r="L2" s="16" t="s">
        <v>1113</v>
      </c>
      <c r="M2" s="15" t="s">
        <v>1114</v>
      </c>
      <c r="N2" s="15" t="s">
        <v>1114</v>
      </c>
      <c r="O2" s="15"/>
      <c r="P2" s="16" t="s">
        <v>1115</v>
      </c>
      <c r="Q2" s="16" t="s">
        <v>1115</v>
      </c>
      <c r="R2" s="16"/>
      <c r="S2" s="15" t="s">
        <v>0</v>
      </c>
      <c r="T2" s="15"/>
      <c r="U2" s="22" t="s">
        <v>1116</v>
      </c>
      <c r="V2" s="15"/>
      <c r="W2" s="22" t="s">
        <v>1117</v>
      </c>
      <c r="X2" s="22" t="s">
        <v>180</v>
      </c>
      <c r="Y2" s="15"/>
      <c r="Z2" s="16" t="s">
        <v>1</v>
      </c>
      <c r="AA2" s="22" t="s">
        <v>1118</v>
      </c>
      <c r="AB2" s="16" t="s">
        <v>2</v>
      </c>
      <c r="AC2" s="16" t="s">
        <v>3</v>
      </c>
      <c r="AD2" s="16" t="s">
        <v>4</v>
      </c>
      <c r="AE2" s="15"/>
      <c r="AF2" s="23" t="s">
        <v>1119</v>
      </c>
      <c r="AG2" s="23" t="s">
        <v>1120</v>
      </c>
      <c r="AH2" s="23" t="s">
        <v>1121</v>
      </c>
      <c r="AI2" s="23" t="s">
        <v>1122</v>
      </c>
      <c r="AJ2" s="15"/>
      <c r="AK2" s="23" t="s">
        <v>188</v>
      </c>
      <c r="AL2" s="23" t="s">
        <v>188</v>
      </c>
      <c r="AM2" s="22" t="s">
        <v>1123</v>
      </c>
      <c r="AN2" s="15"/>
      <c r="AO2" s="15" t="s">
        <v>190</v>
      </c>
      <c r="AP2" s="15"/>
      <c r="AQ2" s="15"/>
      <c r="AR2" s="15"/>
      <c r="AS2" s="15"/>
      <c r="AT2" s="15" t="s">
        <v>1124</v>
      </c>
      <c r="AU2" s="16" t="s">
        <v>195</v>
      </c>
      <c r="AV2" s="16" t="s">
        <v>5</v>
      </c>
      <c r="AW2" s="16" t="s">
        <v>198</v>
      </c>
      <c r="AX2" s="16"/>
      <c r="AY2" s="16" t="s">
        <v>200</v>
      </c>
      <c r="AZ2" s="16" t="s">
        <v>201</v>
      </c>
      <c r="BA2" s="16" t="s">
        <v>201</v>
      </c>
      <c r="BB2" s="16"/>
      <c r="BC2" s="16" t="s">
        <v>6</v>
      </c>
      <c r="BD2" s="16" t="s">
        <v>6</v>
      </c>
    </row>
    <row r="3" spans="1:56" x14ac:dyDescent="0.25">
      <c r="A3" s="79" t="s">
        <v>427</v>
      </c>
      <c r="B3" s="15" t="s">
        <v>1203</v>
      </c>
      <c r="C3" s="15" t="s">
        <v>1204</v>
      </c>
      <c r="D3" s="15" t="s">
        <v>1205</v>
      </c>
      <c r="E3" s="15" t="s">
        <v>1206</v>
      </c>
      <c r="F3" s="15" t="s">
        <v>1207</v>
      </c>
      <c r="G3" s="15" t="s">
        <v>1208</v>
      </c>
      <c r="H3" s="15" t="s">
        <v>1209</v>
      </c>
      <c r="I3" s="15" t="s">
        <v>1210</v>
      </c>
      <c r="J3" s="15"/>
      <c r="K3" s="15" t="s">
        <v>1211</v>
      </c>
      <c r="L3" s="15" t="s">
        <v>1212</v>
      </c>
      <c r="M3" s="15" t="s">
        <v>1213</v>
      </c>
      <c r="N3" s="15" t="s">
        <v>1213</v>
      </c>
      <c r="O3" s="15"/>
      <c r="P3" s="15" t="s">
        <v>1214</v>
      </c>
      <c r="Q3" s="15" t="s">
        <v>1214</v>
      </c>
      <c r="R3" s="15" t="s">
        <v>92</v>
      </c>
      <c r="S3" s="15" t="s">
        <v>1215</v>
      </c>
      <c r="T3" s="15"/>
      <c r="U3" s="22" t="s">
        <v>1216</v>
      </c>
      <c r="V3" s="15"/>
      <c r="W3" s="22" t="s">
        <v>1217</v>
      </c>
      <c r="X3" s="22" t="s">
        <v>1218</v>
      </c>
      <c r="Y3" s="15"/>
      <c r="Z3" s="16" t="s">
        <v>1219</v>
      </c>
      <c r="AA3" s="22" t="s">
        <v>1220</v>
      </c>
      <c r="AB3" s="16" t="s">
        <v>1221</v>
      </c>
      <c r="AC3" s="16" t="s">
        <v>1222</v>
      </c>
      <c r="AD3" s="16" t="s">
        <v>1223</v>
      </c>
      <c r="AE3" s="15"/>
      <c r="AF3" s="23" t="s">
        <v>1224</v>
      </c>
      <c r="AG3" s="23" t="s">
        <v>1225</v>
      </c>
      <c r="AH3" s="23" t="s">
        <v>1226</v>
      </c>
      <c r="AI3" s="23" t="s">
        <v>1227</v>
      </c>
      <c r="AJ3" s="15"/>
      <c r="AK3" s="23" t="s">
        <v>1228</v>
      </c>
      <c r="AL3" s="23" t="s">
        <v>1228</v>
      </c>
      <c r="AM3" s="22" t="s">
        <v>1229</v>
      </c>
      <c r="AN3" s="15"/>
      <c r="AO3" s="16" t="s">
        <v>1230</v>
      </c>
      <c r="AP3" s="15"/>
      <c r="AQ3" s="15"/>
      <c r="AR3" s="15"/>
      <c r="AS3" s="15"/>
      <c r="AT3" s="15" t="s">
        <v>1231</v>
      </c>
      <c r="AU3" s="16" t="s">
        <v>1232</v>
      </c>
      <c r="AV3" s="16"/>
      <c r="AW3" s="16" t="s">
        <v>1233</v>
      </c>
      <c r="AX3" s="16"/>
      <c r="AY3" s="16" t="s">
        <v>1234</v>
      </c>
      <c r="AZ3" s="16" t="s">
        <v>1235</v>
      </c>
      <c r="BA3" s="16" t="s">
        <v>1236</v>
      </c>
      <c r="BB3" s="16"/>
      <c r="BC3" s="16" t="s">
        <v>1237</v>
      </c>
      <c r="BD3" s="16" t="s">
        <v>1237</v>
      </c>
    </row>
    <row r="4" spans="1:56" x14ac:dyDescent="0.25">
      <c r="A4" s="80" t="s">
        <v>85</v>
      </c>
      <c r="B4" s="24" t="s">
        <v>411</v>
      </c>
      <c r="C4" s="24" t="s">
        <v>412</v>
      </c>
      <c r="D4" s="6" t="s">
        <v>324</v>
      </c>
      <c r="E4" s="6" t="s">
        <v>325</v>
      </c>
      <c r="F4" s="6" t="s">
        <v>326</v>
      </c>
      <c r="G4" s="5" t="s">
        <v>327</v>
      </c>
      <c r="H4" s="5" t="s">
        <v>328</v>
      </c>
      <c r="I4" s="6" t="s">
        <v>329</v>
      </c>
      <c r="J4" s="6" t="s">
        <v>15</v>
      </c>
      <c r="K4" s="24" t="s">
        <v>413</v>
      </c>
      <c r="L4" s="24" t="s">
        <v>332</v>
      </c>
      <c r="M4" s="24" t="s">
        <v>414</v>
      </c>
      <c r="N4" s="24" t="s">
        <v>415</v>
      </c>
      <c r="O4" s="24" t="s">
        <v>91</v>
      </c>
      <c r="P4" s="24" t="s">
        <v>416</v>
      </c>
      <c r="Q4" s="24" t="s">
        <v>21</v>
      </c>
      <c r="R4" s="24">
        <v>1851</v>
      </c>
      <c r="S4" s="24">
        <v>1852</v>
      </c>
      <c r="T4" s="24">
        <v>1853</v>
      </c>
      <c r="U4" s="24">
        <v>1854</v>
      </c>
      <c r="V4" s="24">
        <v>1855</v>
      </c>
      <c r="W4" s="24">
        <v>1856</v>
      </c>
      <c r="X4" s="24">
        <v>1857</v>
      </c>
      <c r="Y4" s="24">
        <v>1858</v>
      </c>
      <c r="Z4" s="24">
        <v>1859</v>
      </c>
      <c r="AA4" s="24">
        <v>1860</v>
      </c>
      <c r="AB4" s="24">
        <v>1861</v>
      </c>
      <c r="AC4" s="24">
        <v>1862</v>
      </c>
      <c r="AD4" s="24" t="s">
        <v>94</v>
      </c>
      <c r="AE4" s="24" t="s">
        <v>95</v>
      </c>
      <c r="AF4" s="24" t="s">
        <v>96</v>
      </c>
      <c r="AG4" s="24" t="s">
        <v>97</v>
      </c>
      <c r="AH4" s="24" t="s">
        <v>98</v>
      </c>
      <c r="AI4" s="24" t="s">
        <v>99</v>
      </c>
      <c r="AJ4" s="24" t="s">
        <v>100</v>
      </c>
      <c r="AK4" s="24" t="s">
        <v>101</v>
      </c>
      <c r="AL4" s="24" t="s">
        <v>102</v>
      </c>
      <c r="AM4" s="24" t="s">
        <v>103</v>
      </c>
      <c r="AN4" s="24" t="s">
        <v>104</v>
      </c>
      <c r="AO4" s="24" t="s">
        <v>22</v>
      </c>
      <c r="AP4" s="24" t="s">
        <v>105</v>
      </c>
      <c r="AQ4" s="24" t="s">
        <v>106</v>
      </c>
      <c r="AR4" s="24" t="s">
        <v>107</v>
      </c>
      <c r="AS4" s="24" t="s">
        <v>108</v>
      </c>
      <c r="AT4" s="25" t="s">
        <v>23</v>
      </c>
      <c r="AU4" s="24" t="s">
        <v>24</v>
      </c>
      <c r="AV4" s="24" t="s">
        <v>25</v>
      </c>
      <c r="AW4" s="24" t="s">
        <v>26</v>
      </c>
      <c r="AX4" s="24" t="s">
        <v>27</v>
      </c>
      <c r="AY4" s="24" t="s">
        <v>28</v>
      </c>
      <c r="AZ4" s="24" t="s">
        <v>29</v>
      </c>
      <c r="BA4" s="24" t="s">
        <v>30</v>
      </c>
      <c r="BB4" s="26" t="s">
        <v>31</v>
      </c>
      <c r="BC4" s="24" t="s">
        <v>32</v>
      </c>
      <c r="BD4" s="24" t="s">
        <v>33</v>
      </c>
    </row>
    <row r="5" spans="1:56" x14ac:dyDescent="0.25">
      <c r="A5" s="81" t="s">
        <v>86</v>
      </c>
      <c r="B5" s="16" t="s">
        <v>34</v>
      </c>
      <c r="C5" s="16" t="s">
        <v>35</v>
      </c>
      <c r="D5" s="16" t="s">
        <v>36</v>
      </c>
      <c r="E5" s="16" t="s">
        <v>37</v>
      </c>
      <c r="F5" s="16" t="s">
        <v>38</v>
      </c>
      <c r="G5" s="16" t="s">
        <v>39</v>
      </c>
      <c r="H5" s="16" t="s">
        <v>40</v>
      </c>
      <c r="I5" s="16" t="s">
        <v>41</v>
      </c>
      <c r="J5" s="16"/>
      <c r="K5" s="16" t="s">
        <v>42</v>
      </c>
      <c r="L5" s="16" t="s">
        <v>43</v>
      </c>
      <c r="M5" s="16" t="s">
        <v>44</v>
      </c>
      <c r="N5" s="16" t="s">
        <v>45</v>
      </c>
      <c r="O5" s="16"/>
      <c r="P5" s="16" t="s">
        <v>46</v>
      </c>
      <c r="Q5" s="16" t="s">
        <v>47</v>
      </c>
      <c r="R5" s="16" t="s">
        <v>48</v>
      </c>
      <c r="S5" s="15" t="s">
        <v>49</v>
      </c>
      <c r="T5" s="15"/>
      <c r="U5" s="22" t="s">
        <v>50</v>
      </c>
      <c r="V5" s="15"/>
      <c r="W5" s="22" t="s">
        <v>51</v>
      </c>
      <c r="X5" s="22" t="s">
        <v>52</v>
      </c>
      <c r="Y5" s="15"/>
      <c r="Z5" s="16" t="s">
        <v>53</v>
      </c>
      <c r="AA5" s="22" t="s">
        <v>54</v>
      </c>
      <c r="AB5" s="16" t="s">
        <v>55</v>
      </c>
      <c r="AC5" s="16" t="s">
        <v>56</v>
      </c>
      <c r="AD5" s="16" t="s">
        <v>57</v>
      </c>
      <c r="AE5" s="15"/>
      <c r="AF5" s="23" t="s">
        <v>93</v>
      </c>
      <c r="AG5" s="23" t="s">
        <v>58</v>
      </c>
      <c r="AH5" s="23" t="s">
        <v>59</v>
      </c>
      <c r="AI5" s="23" t="s">
        <v>60</v>
      </c>
      <c r="AJ5" s="15"/>
      <c r="AK5" s="23" t="s">
        <v>61</v>
      </c>
      <c r="AL5" s="23" t="s">
        <v>62</v>
      </c>
      <c r="AM5" s="22" t="s">
        <v>109</v>
      </c>
      <c r="AN5" s="15"/>
      <c r="AO5" s="16" t="s">
        <v>63</v>
      </c>
      <c r="AP5" s="15"/>
      <c r="AQ5" s="15"/>
      <c r="AR5" s="15"/>
      <c r="AS5" s="15"/>
      <c r="AT5" s="15" t="s">
        <v>64</v>
      </c>
      <c r="AU5" s="16" t="s">
        <v>110</v>
      </c>
      <c r="AV5" s="16"/>
      <c r="AW5" s="16" t="s">
        <v>65</v>
      </c>
      <c r="AX5" s="16"/>
      <c r="AY5" s="16" t="s">
        <v>66</v>
      </c>
      <c r="AZ5" s="16" t="s">
        <v>67</v>
      </c>
      <c r="BA5" s="16" t="s">
        <v>68</v>
      </c>
      <c r="BB5" s="16"/>
      <c r="BC5" s="16" t="s">
        <v>69</v>
      </c>
      <c r="BD5" s="16" t="s">
        <v>69</v>
      </c>
    </row>
    <row r="6" spans="1:56" x14ac:dyDescent="0.25">
      <c r="A6" s="79" t="s">
        <v>84</v>
      </c>
      <c r="B6" s="16" t="s">
        <v>70</v>
      </c>
      <c r="C6" s="16" t="s">
        <v>70</v>
      </c>
      <c r="D6" s="16" t="s">
        <v>70</v>
      </c>
      <c r="E6" s="16" t="s">
        <v>70</v>
      </c>
      <c r="F6" s="16" t="s">
        <v>70</v>
      </c>
      <c r="G6" s="16" t="s">
        <v>70</v>
      </c>
      <c r="H6" s="15" t="s">
        <v>70</v>
      </c>
      <c r="I6" s="15" t="s">
        <v>70</v>
      </c>
      <c r="J6" s="15"/>
      <c r="K6" s="16" t="s">
        <v>70</v>
      </c>
      <c r="L6" s="16" t="s">
        <v>417</v>
      </c>
      <c r="M6" s="15" t="s">
        <v>70</v>
      </c>
      <c r="N6" s="39" t="s">
        <v>71</v>
      </c>
      <c r="O6" s="15"/>
      <c r="P6" s="16" t="s">
        <v>70</v>
      </c>
      <c r="Q6" s="16" t="s">
        <v>70</v>
      </c>
      <c r="R6" s="16" t="s">
        <v>72</v>
      </c>
      <c r="S6" s="15" t="s">
        <v>70</v>
      </c>
      <c r="T6" s="15"/>
      <c r="U6" s="22" t="s">
        <v>70</v>
      </c>
      <c r="V6" s="15"/>
      <c r="W6" s="22" t="s">
        <v>70</v>
      </c>
      <c r="X6" s="22" t="s">
        <v>70</v>
      </c>
      <c r="Y6" s="15"/>
      <c r="Z6" s="16" t="s">
        <v>70</v>
      </c>
      <c r="AA6" s="22" t="s">
        <v>70</v>
      </c>
      <c r="AB6" s="16" t="s">
        <v>70</v>
      </c>
      <c r="AC6" s="16" t="s">
        <v>70</v>
      </c>
      <c r="AD6" s="16" t="s">
        <v>70</v>
      </c>
      <c r="AE6" s="15"/>
      <c r="AF6" s="23" t="s">
        <v>70</v>
      </c>
      <c r="AG6" s="23" t="s">
        <v>70</v>
      </c>
      <c r="AH6" s="23" t="s">
        <v>70</v>
      </c>
      <c r="AI6" s="23" t="s">
        <v>70</v>
      </c>
      <c r="AJ6" s="15"/>
      <c r="AK6" s="23" t="s">
        <v>70</v>
      </c>
      <c r="AL6" s="23" t="s">
        <v>70</v>
      </c>
      <c r="AM6" s="22" t="s">
        <v>70</v>
      </c>
      <c r="AN6" s="15"/>
      <c r="AO6" s="39" t="s">
        <v>71</v>
      </c>
      <c r="AP6" s="15"/>
      <c r="AQ6" s="15"/>
      <c r="AR6" s="15"/>
      <c r="AS6" s="15"/>
      <c r="AT6" s="16" t="s">
        <v>70</v>
      </c>
      <c r="AU6" s="16" t="s">
        <v>70</v>
      </c>
      <c r="AV6" s="16"/>
      <c r="AW6" s="16" t="s">
        <v>70</v>
      </c>
      <c r="AX6" s="16" t="s">
        <v>5</v>
      </c>
      <c r="AY6" s="16" t="s">
        <v>70</v>
      </c>
      <c r="AZ6" s="16" t="s">
        <v>70</v>
      </c>
      <c r="BA6" s="16" t="s">
        <v>70</v>
      </c>
      <c r="BB6" s="16" t="s">
        <v>5</v>
      </c>
      <c r="BC6" s="16" t="s">
        <v>70</v>
      </c>
      <c r="BD6" s="39" t="s">
        <v>71</v>
      </c>
    </row>
    <row r="7" spans="1:56" x14ac:dyDescent="0.25">
      <c r="A7" s="98"/>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Z7" s="17"/>
      <c r="BA7" s="17"/>
      <c r="BB7" s="28"/>
    </row>
    <row r="8" spans="1:56" x14ac:dyDescent="0.25">
      <c r="A8" s="82" t="s">
        <v>138</v>
      </c>
      <c r="B8" s="18">
        <v>59020</v>
      </c>
      <c r="C8" s="18">
        <v>46492</v>
      </c>
      <c r="D8" s="18">
        <v>78841</v>
      </c>
      <c r="E8" s="18">
        <v>-5311</v>
      </c>
      <c r="F8" s="18">
        <v>21399</v>
      </c>
      <c r="G8" s="18">
        <v>40379</v>
      </c>
      <c r="H8" s="18">
        <v>320275</v>
      </c>
      <c r="I8" s="18">
        <v>1063993</v>
      </c>
      <c r="J8" s="18"/>
      <c r="K8" s="18">
        <v>124014</v>
      </c>
      <c r="L8" s="18">
        <v>290895</v>
      </c>
      <c r="M8" s="18">
        <v>382405</v>
      </c>
      <c r="N8" s="18">
        <v>144000</v>
      </c>
      <c r="O8" s="18"/>
      <c r="P8" s="18">
        <v>44832</v>
      </c>
      <c r="Q8" s="18">
        <v>44832</v>
      </c>
      <c r="R8" s="18">
        <f>(Q8/15)*12</f>
        <v>35865.600000000006</v>
      </c>
      <c r="S8" s="18">
        <v>738</v>
      </c>
      <c r="T8" s="18"/>
      <c r="U8" s="18"/>
      <c r="V8" s="18"/>
      <c r="W8" s="18"/>
      <c r="X8" s="18"/>
      <c r="Y8" s="18"/>
      <c r="Z8" s="18"/>
      <c r="AA8" s="18"/>
      <c r="AB8" s="18"/>
      <c r="AC8" s="18"/>
      <c r="AD8" s="18">
        <v>223992</v>
      </c>
      <c r="AE8" s="18"/>
      <c r="AF8" s="18">
        <v>963291</v>
      </c>
      <c r="AG8" s="18">
        <v>162800</v>
      </c>
      <c r="AH8" s="18">
        <v>19223</v>
      </c>
      <c r="AI8" s="17">
        <v>22889</v>
      </c>
      <c r="AJ8" s="18"/>
      <c r="AK8" s="18">
        <v>147095</v>
      </c>
      <c r="AL8" s="18">
        <v>20931</v>
      </c>
      <c r="AM8" s="18">
        <v>278370</v>
      </c>
      <c r="AN8" s="18"/>
      <c r="AO8" s="18">
        <v>120033</v>
      </c>
      <c r="AP8" s="18"/>
      <c r="AQ8" s="18"/>
      <c r="AR8" s="18"/>
      <c r="AS8" s="18"/>
      <c r="AT8" s="13">
        <v>384310</v>
      </c>
      <c r="AU8" s="13">
        <v>609010</v>
      </c>
      <c r="AV8" s="13"/>
      <c r="AW8" s="13">
        <v>85229</v>
      </c>
      <c r="AX8" s="13"/>
      <c r="AY8" s="13">
        <v>99732</v>
      </c>
      <c r="AZ8" s="13">
        <v>271151</v>
      </c>
      <c r="BA8" s="13">
        <v>17719</v>
      </c>
      <c r="BB8" s="17"/>
      <c r="BC8" s="13">
        <v>772229</v>
      </c>
      <c r="BD8" s="13">
        <v>756111</v>
      </c>
    </row>
    <row r="9" spans="1:56" x14ac:dyDescent="0.25">
      <c r="A9" s="80" t="s">
        <v>674</v>
      </c>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20"/>
      <c r="AF9" s="19"/>
      <c r="AG9" s="19"/>
      <c r="AH9" s="19"/>
      <c r="AI9" s="19"/>
      <c r="AJ9" s="19"/>
      <c r="AK9" s="20"/>
      <c r="AL9" s="20"/>
      <c r="AM9" s="19"/>
      <c r="AN9" s="20"/>
      <c r="AO9" s="19"/>
      <c r="AP9" s="20"/>
      <c r="AQ9" s="20"/>
      <c r="AR9" s="20"/>
      <c r="AS9" s="20"/>
      <c r="AT9" s="15"/>
      <c r="AU9" s="15"/>
      <c r="AV9" s="15"/>
      <c r="AW9" s="15"/>
      <c r="AX9" s="15"/>
      <c r="AY9" s="15"/>
      <c r="AZ9" s="17"/>
      <c r="BA9" s="17"/>
      <c r="BB9" s="16"/>
      <c r="BC9" s="17"/>
      <c r="BD9" s="17"/>
    </row>
    <row r="10" spans="1:56" x14ac:dyDescent="0.25">
      <c r="A10" s="83" t="s">
        <v>139</v>
      </c>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20"/>
      <c r="AF10" s="19"/>
      <c r="AG10" s="19"/>
      <c r="AH10" s="19"/>
      <c r="AI10" s="19"/>
      <c r="AJ10" s="19"/>
      <c r="AK10" s="19">
        <v>8000</v>
      </c>
      <c r="AL10" s="19"/>
      <c r="AM10" s="19">
        <v>38400</v>
      </c>
      <c r="AN10" s="20"/>
      <c r="AO10" s="19">
        <v>25600</v>
      </c>
      <c r="AP10" s="20"/>
      <c r="AQ10" s="20"/>
      <c r="AR10" s="20"/>
      <c r="AS10" s="20"/>
      <c r="AT10" s="19"/>
      <c r="AU10" s="19"/>
      <c r="AV10" s="19"/>
      <c r="AW10" s="19"/>
      <c r="AX10" s="19"/>
      <c r="AY10" s="19">
        <v>75200</v>
      </c>
      <c r="AZ10" s="17">
        <v>54600</v>
      </c>
      <c r="BA10" s="17">
        <v>64800</v>
      </c>
      <c r="BB10" s="16"/>
      <c r="BC10" s="17">
        <v>48800</v>
      </c>
      <c r="BD10" s="17">
        <v>48800</v>
      </c>
    </row>
    <row r="11" spans="1:56" x14ac:dyDescent="0.25">
      <c r="A11" s="83" t="s">
        <v>140</v>
      </c>
      <c r="B11" s="19">
        <v>3240</v>
      </c>
      <c r="C11" s="19">
        <v>7360</v>
      </c>
      <c r="D11" s="19">
        <v>3700</v>
      </c>
      <c r="E11" s="19">
        <v>5600</v>
      </c>
      <c r="F11" s="19">
        <v>5000</v>
      </c>
      <c r="G11" s="19">
        <v>6000</v>
      </c>
      <c r="H11" s="19">
        <v>5600</v>
      </c>
      <c r="I11" s="19">
        <v>3200</v>
      </c>
      <c r="J11" s="19"/>
      <c r="K11" s="19">
        <v>5600</v>
      </c>
      <c r="L11" s="19">
        <v>6080</v>
      </c>
      <c r="M11" s="19">
        <v>10200</v>
      </c>
      <c r="N11" s="19">
        <v>8200</v>
      </c>
      <c r="O11" s="19"/>
      <c r="P11" s="19"/>
      <c r="Q11" s="19">
        <v>10000</v>
      </c>
      <c r="R11" s="18">
        <f>(Q11/15)*12</f>
        <v>8000</v>
      </c>
      <c r="S11" s="19"/>
      <c r="T11" s="19"/>
      <c r="U11" s="19"/>
      <c r="V11" s="19"/>
      <c r="W11" s="19"/>
      <c r="X11" s="19"/>
      <c r="Y11" s="19"/>
      <c r="Z11" s="19">
        <v>72600</v>
      </c>
      <c r="AA11" s="19"/>
      <c r="AB11" s="19">
        <v>51200</v>
      </c>
      <c r="AC11" s="19">
        <v>65600</v>
      </c>
      <c r="AD11" s="19">
        <v>43200</v>
      </c>
      <c r="AE11" s="20"/>
      <c r="AF11" s="19">
        <v>54600</v>
      </c>
      <c r="AG11" s="19">
        <v>41600</v>
      </c>
      <c r="AH11" s="19">
        <v>62580</v>
      </c>
      <c r="AI11" s="19">
        <v>66000</v>
      </c>
      <c r="AJ11" s="19"/>
      <c r="AK11" s="19">
        <v>49600</v>
      </c>
      <c r="AL11" s="19">
        <v>81600</v>
      </c>
      <c r="AM11" s="19">
        <v>19500</v>
      </c>
      <c r="AN11" s="20"/>
      <c r="AO11" s="19">
        <v>45000</v>
      </c>
      <c r="AP11" s="20"/>
      <c r="AQ11" s="20"/>
      <c r="AR11" s="20"/>
      <c r="AS11" s="20"/>
      <c r="AT11" s="19"/>
      <c r="AU11" s="19">
        <v>96200</v>
      </c>
      <c r="AV11" s="19"/>
      <c r="AW11" s="19"/>
      <c r="AX11" s="19"/>
      <c r="AY11" s="19">
        <v>193200</v>
      </c>
      <c r="AZ11" s="17">
        <v>103000</v>
      </c>
      <c r="BA11" s="17">
        <v>135800</v>
      </c>
      <c r="BB11" s="16"/>
      <c r="BC11" s="17">
        <v>129100</v>
      </c>
      <c r="BD11" s="17">
        <v>130000</v>
      </c>
    </row>
    <row r="12" spans="1:56" x14ac:dyDescent="0.25">
      <c r="A12" s="83" t="s">
        <v>112</v>
      </c>
      <c r="B12" s="19"/>
      <c r="C12" s="19"/>
      <c r="D12" s="19"/>
      <c r="E12" s="19"/>
      <c r="F12" s="19"/>
      <c r="G12" s="19"/>
      <c r="H12" s="19"/>
      <c r="I12" s="19"/>
      <c r="J12" s="19"/>
      <c r="K12" s="19"/>
      <c r="L12" s="19"/>
      <c r="M12" s="19"/>
      <c r="N12" s="19"/>
      <c r="O12" s="19"/>
      <c r="P12" s="19"/>
      <c r="Q12" s="19">
        <v>167000</v>
      </c>
      <c r="R12" s="18">
        <f>(Q12/15)*12</f>
        <v>133600</v>
      </c>
      <c r="S12" s="19"/>
      <c r="T12" s="19"/>
      <c r="U12" s="19"/>
      <c r="V12" s="19"/>
      <c r="W12" s="19"/>
      <c r="X12" s="19"/>
      <c r="Y12" s="19"/>
      <c r="Z12" s="19">
        <v>92000</v>
      </c>
      <c r="AA12" s="19"/>
      <c r="AB12" s="19"/>
      <c r="AC12" s="19"/>
      <c r="AD12" s="19"/>
      <c r="AE12" s="20"/>
      <c r="AF12" s="19"/>
      <c r="AG12" s="19">
        <v>33000</v>
      </c>
      <c r="AH12" s="19">
        <v>84000</v>
      </c>
      <c r="AI12" s="19">
        <v>84000</v>
      </c>
      <c r="AJ12" s="19"/>
      <c r="AK12" s="19">
        <v>42000</v>
      </c>
      <c r="AL12" s="19">
        <v>90000</v>
      </c>
      <c r="AM12" s="19">
        <v>475000</v>
      </c>
      <c r="AN12" s="20"/>
      <c r="AO12" s="19">
        <v>360000</v>
      </c>
      <c r="AP12" s="20"/>
      <c r="AQ12" s="20"/>
      <c r="AR12" s="20"/>
      <c r="AS12" s="20"/>
      <c r="AT12" s="19"/>
      <c r="AU12" s="19">
        <v>70000</v>
      </c>
      <c r="AV12" s="19"/>
      <c r="AW12" s="19">
        <v>170000</v>
      </c>
      <c r="AX12" s="19"/>
      <c r="AY12" s="19">
        <v>150000</v>
      </c>
      <c r="AZ12" s="17">
        <v>300700</v>
      </c>
      <c r="BA12" s="17">
        <v>200000</v>
      </c>
      <c r="BB12" s="17"/>
      <c r="BC12" s="17">
        <v>108000</v>
      </c>
      <c r="BD12" s="17">
        <v>150000</v>
      </c>
    </row>
    <row r="13" spans="1:56" x14ac:dyDescent="0.25">
      <c r="A13" s="83" t="s">
        <v>114</v>
      </c>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20"/>
      <c r="AF13" s="19"/>
      <c r="AG13" s="19"/>
      <c r="AH13" s="19"/>
      <c r="AI13" s="19"/>
      <c r="AJ13" s="19"/>
      <c r="AK13" s="19"/>
      <c r="AL13" s="19"/>
      <c r="AM13" s="19"/>
      <c r="AN13" s="20"/>
      <c r="AO13" s="19"/>
      <c r="AP13" s="20"/>
      <c r="AQ13" s="20"/>
      <c r="AR13" s="20"/>
      <c r="AS13" s="20"/>
      <c r="AT13" s="19"/>
      <c r="AU13" s="19"/>
      <c r="AV13" s="19"/>
      <c r="AW13" s="19"/>
      <c r="AX13" s="19"/>
      <c r="AY13" s="19">
        <v>85000</v>
      </c>
      <c r="AZ13" s="17">
        <v>52500</v>
      </c>
      <c r="BA13" s="17">
        <v>168000</v>
      </c>
      <c r="BB13" s="17"/>
      <c r="BC13" s="17">
        <v>85000</v>
      </c>
      <c r="BD13" s="17">
        <v>85000</v>
      </c>
    </row>
    <row r="14" spans="1:56" x14ac:dyDescent="0.25">
      <c r="A14" s="83" t="s">
        <v>111</v>
      </c>
      <c r="B14" s="19"/>
      <c r="C14" s="19"/>
      <c r="D14" s="19"/>
      <c r="E14" s="19"/>
      <c r="F14" s="19"/>
      <c r="G14" s="19"/>
      <c r="H14" s="19"/>
      <c r="I14" s="19"/>
      <c r="J14" s="19"/>
      <c r="K14" s="19"/>
      <c r="L14" s="19"/>
      <c r="M14" s="19"/>
      <c r="N14" s="19"/>
      <c r="O14" s="19"/>
      <c r="P14" s="19"/>
      <c r="Q14" s="19"/>
      <c r="R14" s="19"/>
      <c r="S14" s="19"/>
      <c r="T14" s="19"/>
      <c r="U14" s="19"/>
      <c r="V14" s="19"/>
      <c r="W14" s="19"/>
      <c r="X14" s="19"/>
      <c r="Y14" s="19"/>
      <c r="Z14" s="19">
        <v>21000</v>
      </c>
      <c r="AA14" s="19"/>
      <c r="AB14" s="19"/>
      <c r="AC14" s="19"/>
      <c r="AD14" s="19"/>
      <c r="AE14" s="20"/>
      <c r="AF14" s="19">
        <v>18000</v>
      </c>
      <c r="AG14" s="19"/>
      <c r="AH14" s="19"/>
      <c r="AI14" s="19"/>
      <c r="AJ14" s="19"/>
      <c r="AK14" s="19"/>
      <c r="AL14" s="19"/>
      <c r="AM14" s="19"/>
      <c r="AN14" s="20"/>
      <c r="AO14" s="19">
        <v>70000</v>
      </c>
      <c r="AP14" s="20"/>
      <c r="AQ14" s="20"/>
      <c r="AR14" s="20"/>
      <c r="AS14" s="20"/>
      <c r="AT14" s="19"/>
      <c r="AU14" s="19"/>
      <c r="AV14" s="19"/>
      <c r="AW14" s="19"/>
      <c r="AX14" s="19"/>
      <c r="AY14" s="19"/>
      <c r="AZ14" s="17"/>
      <c r="BA14" s="17"/>
      <c r="BB14" s="17"/>
      <c r="BC14" s="17"/>
      <c r="BD14" s="17"/>
    </row>
    <row r="15" spans="1:56" x14ac:dyDescent="0.25">
      <c r="A15" s="83" t="s">
        <v>434</v>
      </c>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20"/>
      <c r="AF15" s="19"/>
      <c r="AG15" s="19"/>
      <c r="AH15" s="19"/>
      <c r="AI15" s="19"/>
      <c r="AJ15" s="19"/>
      <c r="AK15" s="19"/>
      <c r="AL15" s="19"/>
      <c r="AM15" s="19"/>
      <c r="AN15" s="20"/>
      <c r="AO15" s="19"/>
      <c r="AP15" s="20"/>
      <c r="AQ15" s="20"/>
      <c r="AR15" s="20"/>
      <c r="AS15" s="20"/>
      <c r="AT15" s="19"/>
      <c r="AU15" s="19"/>
      <c r="AV15" s="19"/>
      <c r="AW15" s="19">
        <v>2504400</v>
      </c>
      <c r="AX15" s="19"/>
      <c r="AY15" s="19"/>
      <c r="AZ15" s="17"/>
      <c r="BA15" s="17"/>
      <c r="BB15" s="17"/>
      <c r="BC15" s="17"/>
      <c r="BD15" s="17"/>
    </row>
    <row r="16" spans="1:56" x14ac:dyDescent="0.25">
      <c r="A16" s="83" t="s">
        <v>73</v>
      </c>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20"/>
      <c r="AF16" s="19"/>
      <c r="AG16" s="19"/>
      <c r="AH16" s="19"/>
      <c r="AI16" s="19"/>
      <c r="AJ16" s="19"/>
      <c r="AK16" s="19"/>
      <c r="AL16" s="19"/>
      <c r="AM16" s="19"/>
      <c r="AN16" s="20"/>
      <c r="AO16" s="19"/>
      <c r="AP16" s="20"/>
      <c r="AQ16" s="20"/>
      <c r="AR16" s="20"/>
      <c r="AS16" s="20"/>
      <c r="AT16" s="19"/>
      <c r="AU16" s="19"/>
      <c r="AV16" s="19"/>
      <c r="AW16" s="19"/>
      <c r="AX16" s="19"/>
      <c r="AY16" s="19"/>
      <c r="AZ16" s="17">
        <v>15000</v>
      </c>
      <c r="BA16" s="17">
        <v>90000</v>
      </c>
      <c r="BB16" s="17"/>
      <c r="BC16" s="17"/>
      <c r="BD16" s="17"/>
    </row>
    <row r="17" spans="1:56" x14ac:dyDescent="0.25">
      <c r="A17" s="83" t="s">
        <v>115</v>
      </c>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20"/>
      <c r="AF17" s="19"/>
      <c r="AG17" s="19"/>
      <c r="AH17" s="19"/>
      <c r="AI17" s="19"/>
      <c r="AJ17" s="19"/>
      <c r="AK17" s="19"/>
      <c r="AL17" s="19"/>
      <c r="AM17" s="19"/>
      <c r="AN17" s="20"/>
      <c r="AO17" s="19"/>
      <c r="AP17" s="20"/>
      <c r="AQ17" s="20"/>
      <c r="AR17" s="20"/>
      <c r="AS17" s="20"/>
      <c r="AT17" s="19"/>
      <c r="AU17" s="19"/>
      <c r="AV17" s="19"/>
      <c r="AW17" s="19"/>
      <c r="AX17" s="19"/>
      <c r="AY17" s="19"/>
      <c r="AZ17" s="17">
        <v>12000</v>
      </c>
      <c r="BA17" s="17"/>
      <c r="BB17" s="17"/>
      <c r="BC17" s="17">
        <v>34500</v>
      </c>
      <c r="BD17" s="17">
        <v>25000</v>
      </c>
    </row>
    <row r="18" spans="1:56" x14ac:dyDescent="0.25">
      <c r="A18" s="83" t="s">
        <v>906</v>
      </c>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20"/>
      <c r="AF18" s="19"/>
      <c r="AG18" s="19"/>
      <c r="AH18" s="19"/>
      <c r="AI18" s="19"/>
      <c r="AJ18" s="19"/>
      <c r="AK18" s="19"/>
      <c r="AL18" s="19"/>
      <c r="AM18" s="19"/>
      <c r="AN18" s="20"/>
      <c r="AO18" s="19"/>
      <c r="AP18" s="20"/>
      <c r="AQ18" s="20"/>
      <c r="AR18" s="20"/>
      <c r="AS18" s="20"/>
      <c r="AT18" s="19"/>
      <c r="AU18" s="19"/>
      <c r="AV18" s="19"/>
      <c r="AW18" s="19">
        <v>199000</v>
      </c>
      <c r="AX18" s="19"/>
      <c r="AY18" s="19"/>
      <c r="AZ18" s="17"/>
      <c r="BA18" s="17"/>
      <c r="BB18" s="17"/>
      <c r="BC18" s="17"/>
      <c r="BD18" s="17"/>
    </row>
    <row r="19" spans="1:56" x14ac:dyDescent="0.25">
      <c r="A19" s="83" t="s">
        <v>141</v>
      </c>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20"/>
      <c r="AF19" s="19"/>
      <c r="AG19" s="19"/>
      <c r="AH19" s="19"/>
      <c r="AI19" s="19"/>
      <c r="AJ19" s="19"/>
      <c r="AK19" s="19"/>
      <c r="AL19" s="19"/>
      <c r="AM19" s="19"/>
      <c r="AN19" s="20"/>
      <c r="AO19" s="19"/>
      <c r="AP19" s="20"/>
      <c r="AQ19" s="20"/>
      <c r="AR19" s="20"/>
      <c r="AS19" s="20"/>
      <c r="AT19" s="19"/>
      <c r="AU19" s="19">
        <v>1589773</v>
      </c>
      <c r="AV19" s="19"/>
      <c r="AW19" s="19"/>
      <c r="AX19" s="19"/>
      <c r="AY19" s="19"/>
      <c r="AZ19" s="17"/>
      <c r="BA19" s="17"/>
      <c r="BB19" s="17"/>
      <c r="BC19" s="17"/>
      <c r="BD19" s="17"/>
    </row>
    <row r="20" spans="1:56" x14ac:dyDescent="0.25">
      <c r="A20" s="83" t="s">
        <v>903</v>
      </c>
      <c r="B20" s="19"/>
      <c r="C20" s="19"/>
      <c r="D20" s="19"/>
      <c r="E20" s="19"/>
      <c r="F20" s="19"/>
      <c r="G20" s="19"/>
      <c r="H20" s="19"/>
      <c r="I20" s="19"/>
      <c r="J20" s="19"/>
      <c r="K20" s="19"/>
      <c r="L20" s="19"/>
      <c r="M20" s="19"/>
      <c r="N20" s="19"/>
      <c r="O20" s="19"/>
      <c r="P20" s="19"/>
      <c r="Q20" s="19"/>
      <c r="R20" s="19"/>
      <c r="S20" s="19"/>
      <c r="T20" s="19"/>
      <c r="U20" s="19"/>
      <c r="V20" s="19"/>
      <c r="W20" s="19"/>
      <c r="X20" s="19"/>
      <c r="Y20" s="19"/>
      <c r="Z20" s="19">
        <v>174620</v>
      </c>
      <c r="AA20" s="19"/>
      <c r="AB20" s="19"/>
      <c r="AC20" s="19"/>
      <c r="AD20" s="19">
        <v>80400</v>
      </c>
      <c r="AE20" s="20"/>
      <c r="AF20" s="19">
        <v>30000</v>
      </c>
      <c r="AG20" s="19">
        <v>204160</v>
      </c>
      <c r="AH20" s="19">
        <v>211360</v>
      </c>
      <c r="AI20" s="19">
        <v>250560</v>
      </c>
      <c r="AJ20" s="19"/>
      <c r="AK20" s="19">
        <v>202880</v>
      </c>
      <c r="AL20" s="19">
        <v>211200</v>
      </c>
      <c r="AM20" s="19">
        <v>172800</v>
      </c>
      <c r="AN20" s="20"/>
      <c r="AO20" s="19"/>
      <c r="AP20" s="20"/>
      <c r="AQ20" s="20"/>
      <c r="AR20" s="20"/>
      <c r="AS20" s="20"/>
      <c r="AT20" s="19"/>
      <c r="AU20" s="19"/>
      <c r="AV20" s="19"/>
      <c r="AW20" s="19"/>
      <c r="AX20" s="19"/>
      <c r="AY20" s="19"/>
      <c r="AZ20" s="17"/>
      <c r="BA20" s="17"/>
      <c r="BB20" s="17"/>
      <c r="BC20" s="17"/>
      <c r="BD20" s="17"/>
    </row>
    <row r="21" spans="1:56" x14ac:dyDescent="0.25">
      <c r="A21" s="34" t="s">
        <v>908</v>
      </c>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20"/>
      <c r="AF21" s="19"/>
      <c r="AG21" s="19"/>
      <c r="AH21" s="19"/>
      <c r="AI21" s="19"/>
      <c r="AJ21" s="19"/>
      <c r="AK21" s="19"/>
      <c r="AL21" s="19"/>
      <c r="AM21" s="19"/>
      <c r="AN21" s="20"/>
      <c r="AO21" s="19">
        <v>112000</v>
      </c>
      <c r="AP21" s="20"/>
      <c r="AQ21" s="20"/>
      <c r="AR21" s="20"/>
      <c r="AS21" s="20"/>
      <c r="AT21" s="19">
        <v>250000</v>
      </c>
      <c r="AU21" s="19">
        <v>152500</v>
      </c>
      <c r="AV21" s="19"/>
      <c r="AW21" s="19">
        <v>364250</v>
      </c>
      <c r="AX21" s="19"/>
      <c r="AY21" s="19">
        <v>240000</v>
      </c>
      <c r="AZ21" s="17">
        <v>282500</v>
      </c>
      <c r="BA21" s="17">
        <f>473000+17600</f>
        <v>490600</v>
      </c>
      <c r="BB21" s="17"/>
      <c r="BC21" s="17">
        <v>408500</v>
      </c>
      <c r="BD21" s="17">
        <v>400000</v>
      </c>
    </row>
    <row r="22" spans="1:56" x14ac:dyDescent="0.25">
      <c r="A22" s="34" t="s">
        <v>909</v>
      </c>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20"/>
      <c r="AF22" s="19">
        <v>366000</v>
      </c>
      <c r="AG22" s="19">
        <v>109000</v>
      </c>
      <c r="AH22" s="19">
        <v>149000</v>
      </c>
      <c r="AI22" s="19">
        <v>324000</v>
      </c>
      <c r="AJ22" s="19"/>
      <c r="AK22" s="19"/>
      <c r="AL22" s="19"/>
      <c r="AM22" s="19"/>
      <c r="AN22" s="20"/>
      <c r="AO22" s="19"/>
      <c r="AP22" s="20"/>
      <c r="AQ22" s="20"/>
      <c r="AR22" s="20"/>
      <c r="AS22" s="20"/>
      <c r="AT22" s="19">
        <v>1466500</v>
      </c>
      <c r="AU22" s="19">
        <v>1481030</v>
      </c>
      <c r="AV22" s="19"/>
      <c r="AW22" s="19"/>
      <c r="AX22" s="19"/>
      <c r="AY22" s="19">
        <v>1642300</v>
      </c>
      <c r="AZ22" s="17">
        <v>2138800</v>
      </c>
      <c r="BA22" s="17"/>
      <c r="BB22" s="17"/>
      <c r="BC22" s="17"/>
      <c r="BD22" s="17"/>
    </row>
    <row r="23" spans="1:56" x14ac:dyDescent="0.25">
      <c r="A23" s="83" t="s">
        <v>74</v>
      </c>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20"/>
      <c r="AF23" s="19"/>
      <c r="AG23" s="19"/>
      <c r="AH23" s="19"/>
      <c r="AI23" s="19"/>
      <c r="AJ23" s="19"/>
      <c r="AK23" s="19"/>
      <c r="AL23" s="19"/>
      <c r="AM23" s="19"/>
      <c r="AN23" s="20"/>
      <c r="AO23" s="19"/>
      <c r="AP23" s="20"/>
      <c r="AQ23" s="20"/>
      <c r="AR23" s="20"/>
      <c r="AS23" s="20"/>
      <c r="AT23" s="19"/>
      <c r="AU23" s="19"/>
      <c r="AV23" s="19"/>
      <c r="AW23" s="19"/>
      <c r="AX23" s="19"/>
      <c r="AY23" s="19"/>
      <c r="AZ23" s="17"/>
      <c r="BA23" s="17">
        <v>30000</v>
      </c>
      <c r="BB23" s="17"/>
      <c r="BC23" s="17">
        <v>85000</v>
      </c>
      <c r="BD23" s="17">
        <v>100000</v>
      </c>
    </row>
    <row r="24" spans="1:56" x14ac:dyDescent="0.25">
      <c r="A24" s="83" t="s">
        <v>120</v>
      </c>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20"/>
      <c r="AF24" s="19"/>
      <c r="AG24" s="19"/>
      <c r="AH24" s="19"/>
      <c r="AI24" s="19"/>
      <c r="AJ24" s="19"/>
      <c r="AK24" s="19"/>
      <c r="AL24" s="19"/>
      <c r="AM24" s="19"/>
      <c r="AN24" s="20"/>
      <c r="AO24" s="19"/>
      <c r="AP24" s="20"/>
      <c r="AQ24" s="20"/>
      <c r="AR24" s="20"/>
      <c r="AS24" s="20"/>
      <c r="AT24" s="19"/>
      <c r="AU24" s="19"/>
      <c r="AV24" s="19"/>
      <c r="AW24" s="19"/>
      <c r="AX24" s="19"/>
      <c r="AY24" s="19">
        <v>108000</v>
      </c>
      <c r="AZ24" s="17">
        <v>168150</v>
      </c>
      <c r="BA24" s="17">
        <v>67200</v>
      </c>
      <c r="BB24" s="17"/>
      <c r="BC24" s="17">
        <v>404882</v>
      </c>
      <c r="BD24" s="17">
        <v>300000</v>
      </c>
    </row>
    <row r="25" spans="1:56" x14ac:dyDescent="0.25">
      <c r="A25" s="83" t="s">
        <v>75</v>
      </c>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20"/>
      <c r="AF25" s="19"/>
      <c r="AG25" s="19"/>
      <c r="AH25" s="19"/>
      <c r="AI25" s="19"/>
      <c r="AJ25" s="19"/>
      <c r="AK25" s="19"/>
      <c r="AL25" s="19"/>
      <c r="AM25" s="19"/>
      <c r="AN25" s="20"/>
      <c r="AO25" s="19"/>
      <c r="AP25" s="20"/>
      <c r="AQ25" s="20"/>
      <c r="AR25" s="20"/>
      <c r="AS25" s="20"/>
      <c r="AT25" s="19"/>
      <c r="AU25" s="19">
        <v>55000</v>
      </c>
      <c r="AV25" s="19"/>
      <c r="AW25" s="19"/>
      <c r="AX25" s="19"/>
      <c r="AY25" s="19"/>
      <c r="AZ25" s="17">
        <v>40000</v>
      </c>
      <c r="BA25" s="17"/>
      <c r="BB25" s="17"/>
      <c r="BC25" s="17"/>
      <c r="BD25" s="17"/>
    </row>
    <row r="26" spans="1:56" x14ac:dyDescent="0.25">
      <c r="A26" s="34" t="s">
        <v>1371</v>
      </c>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20"/>
      <c r="AF26" s="19"/>
      <c r="AG26" s="19"/>
      <c r="AH26" s="19"/>
      <c r="AI26" s="19"/>
      <c r="AJ26" s="19"/>
      <c r="AK26" s="19"/>
      <c r="AL26" s="19">
        <v>96000</v>
      </c>
      <c r="AM26" s="19">
        <v>60000</v>
      </c>
      <c r="AN26" s="20"/>
      <c r="AO26" s="19"/>
      <c r="AP26" s="20"/>
      <c r="AQ26" s="20"/>
      <c r="AR26" s="20"/>
      <c r="AS26" s="20"/>
      <c r="AT26" s="19"/>
      <c r="AU26" s="19"/>
      <c r="AV26" s="19"/>
      <c r="AW26" s="19"/>
      <c r="AX26" s="19"/>
      <c r="AY26" s="19"/>
      <c r="AZ26" s="17">
        <v>150000</v>
      </c>
      <c r="BA26" s="17">
        <v>110000</v>
      </c>
      <c r="BB26" s="17"/>
      <c r="BC26" s="17">
        <v>80000</v>
      </c>
      <c r="BD26" s="17">
        <v>50000</v>
      </c>
    </row>
    <row r="27" spans="1:56" x14ac:dyDescent="0.25">
      <c r="A27" s="83" t="s">
        <v>145</v>
      </c>
      <c r="B27" s="19">
        <v>28570</v>
      </c>
      <c r="C27" s="19">
        <v>30500</v>
      </c>
      <c r="D27" s="19">
        <v>19350</v>
      </c>
      <c r="E27" s="19">
        <v>24450</v>
      </c>
      <c r="F27" s="19">
        <f>7000+7000+7000+7000</f>
        <v>28000</v>
      </c>
      <c r="G27" s="19">
        <v>47800</v>
      </c>
      <c r="H27" s="19">
        <v>31000</v>
      </c>
      <c r="I27" s="19">
        <v>38820</v>
      </c>
      <c r="J27" s="19"/>
      <c r="K27" s="19">
        <v>72960</v>
      </c>
      <c r="L27" s="19">
        <v>102000</v>
      </c>
      <c r="M27" s="19">
        <v>216000</v>
      </c>
      <c r="N27" s="19">
        <v>120000</v>
      </c>
      <c r="O27" s="19"/>
      <c r="P27" s="19"/>
      <c r="Q27" s="19"/>
      <c r="R27" s="19"/>
      <c r="S27" s="19"/>
      <c r="T27" s="19"/>
      <c r="U27" s="19"/>
      <c r="V27" s="19"/>
      <c r="W27" s="19"/>
      <c r="X27" s="19"/>
      <c r="Y27" s="19"/>
      <c r="Z27" s="19">
        <v>225000</v>
      </c>
      <c r="AA27" s="19"/>
      <c r="AB27" s="19"/>
      <c r="AC27" s="19"/>
      <c r="AD27" s="19">
        <v>120000</v>
      </c>
      <c r="AE27" s="20"/>
      <c r="AF27" s="19"/>
      <c r="AG27" s="19">
        <v>97500</v>
      </c>
      <c r="AH27" s="19">
        <v>270000</v>
      </c>
      <c r="AI27" s="19">
        <v>210000</v>
      </c>
      <c r="AJ27" s="19"/>
      <c r="AK27" s="19">
        <v>120000</v>
      </c>
      <c r="AL27" s="19">
        <v>225000</v>
      </c>
      <c r="AM27" s="19"/>
      <c r="AN27" s="20"/>
      <c r="AO27" s="19"/>
      <c r="AP27" s="20"/>
      <c r="AQ27" s="20"/>
      <c r="AR27" s="20"/>
      <c r="AS27" s="20"/>
      <c r="AT27" s="19"/>
      <c r="AU27" s="19"/>
      <c r="AV27" s="19"/>
      <c r="AW27" s="19"/>
      <c r="AX27" s="19"/>
      <c r="AY27" s="19"/>
      <c r="AZ27" s="17"/>
      <c r="BA27" s="17"/>
      <c r="BB27" s="17"/>
      <c r="BC27" s="17"/>
      <c r="BD27" s="17"/>
    </row>
    <row r="28" spans="1:56" x14ac:dyDescent="0.25">
      <c r="A28" s="157" t="s">
        <v>143</v>
      </c>
      <c r="B28" s="19"/>
      <c r="C28" s="19"/>
      <c r="D28" s="19"/>
      <c r="E28" s="19"/>
      <c r="F28" s="19"/>
      <c r="G28" s="19"/>
      <c r="H28" s="19"/>
      <c r="I28" s="19"/>
      <c r="J28" s="19"/>
      <c r="K28" s="19"/>
      <c r="L28" s="19"/>
      <c r="M28" s="19"/>
      <c r="N28" s="19"/>
      <c r="O28" s="19"/>
      <c r="P28" s="19">
        <v>109000</v>
      </c>
      <c r="Q28" s="19"/>
      <c r="R28" s="19"/>
      <c r="S28" s="19">
        <v>158000</v>
      </c>
      <c r="T28" s="19"/>
      <c r="U28" s="19">
        <v>86000</v>
      </c>
      <c r="V28" s="19"/>
      <c r="W28" s="19">
        <v>170930</v>
      </c>
      <c r="X28" s="19">
        <v>201000</v>
      </c>
      <c r="Y28" s="19"/>
      <c r="Z28" s="19"/>
      <c r="AA28" s="19"/>
      <c r="AB28" s="19">
        <v>210000</v>
      </c>
      <c r="AC28" s="19">
        <v>225000</v>
      </c>
      <c r="AD28" s="19"/>
      <c r="AE28" s="20"/>
      <c r="AF28" s="19"/>
      <c r="AG28" s="19"/>
      <c r="AH28" s="19"/>
      <c r="AI28" s="19"/>
      <c r="AJ28" s="19"/>
      <c r="AK28" s="19"/>
      <c r="AL28" s="19"/>
      <c r="AM28" s="19"/>
      <c r="AN28" s="20"/>
      <c r="AO28" s="19"/>
      <c r="AP28" s="20"/>
      <c r="AQ28" s="20"/>
      <c r="AR28" s="20"/>
      <c r="AS28" s="20"/>
      <c r="AT28" s="19"/>
      <c r="AU28" s="19"/>
      <c r="AV28" s="19"/>
      <c r="AW28" s="19"/>
      <c r="AX28" s="19"/>
      <c r="AY28" s="19"/>
      <c r="AZ28" s="17"/>
      <c r="BA28" s="17"/>
      <c r="BB28" s="17"/>
      <c r="BC28" s="17"/>
      <c r="BD28" s="17"/>
    </row>
    <row r="29" spans="1:56" ht="30" x14ac:dyDescent="0.25">
      <c r="A29" s="99" t="s">
        <v>777</v>
      </c>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20"/>
      <c r="AF29" s="19"/>
      <c r="AG29" s="19"/>
      <c r="AH29" s="19"/>
      <c r="AI29" s="19"/>
      <c r="AJ29" s="19"/>
      <c r="AK29" s="19"/>
      <c r="AL29" s="19"/>
      <c r="AM29" s="19"/>
      <c r="AN29" s="20"/>
      <c r="AO29" s="19"/>
      <c r="AP29" s="20"/>
      <c r="AQ29" s="20"/>
      <c r="AR29" s="20"/>
      <c r="AS29" s="20"/>
      <c r="AT29" s="19"/>
      <c r="AU29" s="19"/>
      <c r="AV29" s="19"/>
      <c r="AW29" s="19"/>
      <c r="AX29" s="19"/>
      <c r="AY29" s="19"/>
      <c r="AZ29" s="17"/>
      <c r="BA29" s="17">
        <v>3730700</v>
      </c>
      <c r="BB29" s="17"/>
      <c r="BC29" s="17">
        <v>4742600</v>
      </c>
      <c r="BD29" s="17">
        <v>5000000</v>
      </c>
    </row>
    <row r="30" spans="1:56" x14ac:dyDescent="0.25">
      <c r="A30" s="83" t="s">
        <v>122</v>
      </c>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20"/>
      <c r="AF30" s="19"/>
      <c r="AG30" s="19"/>
      <c r="AH30" s="19"/>
      <c r="AI30" s="19"/>
      <c r="AJ30" s="19"/>
      <c r="AK30" s="19"/>
      <c r="AL30" s="19"/>
      <c r="AM30" s="19">
        <v>16000</v>
      </c>
      <c r="AN30" s="20"/>
      <c r="AO30" s="19">
        <v>28000</v>
      </c>
      <c r="AP30" s="20"/>
      <c r="AQ30" s="20"/>
      <c r="AR30" s="20"/>
      <c r="AS30" s="20"/>
      <c r="AT30" s="19"/>
      <c r="AU30" s="19"/>
      <c r="AV30" s="19"/>
      <c r="AW30" s="19"/>
      <c r="AX30" s="19"/>
      <c r="AY30" s="19"/>
      <c r="AZ30" s="17"/>
      <c r="BA30" s="17"/>
      <c r="BB30" s="17"/>
      <c r="BC30" s="17"/>
      <c r="BD30" s="17"/>
    </row>
    <row r="31" spans="1:56" x14ac:dyDescent="0.25">
      <c r="A31" s="83" t="s">
        <v>918</v>
      </c>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20"/>
      <c r="AF31" s="19"/>
      <c r="AG31" s="19"/>
      <c r="AH31" s="19"/>
      <c r="AI31" s="19"/>
      <c r="AJ31" s="19"/>
      <c r="AK31" s="19"/>
      <c r="AL31" s="19"/>
      <c r="AM31" s="19"/>
      <c r="AN31" s="20"/>
      <c r="AO31" s="19"/>
      <c r="AP31" s="20"/>
      <c r="AQ31" s="20"/>
      <c r="AR31" s="20"/>
      <c r="AS31" s="20"/>
      <c r="AT31" s="19"/>
      <c r="AU31" s="19"/>
      <c r="AV31" s="19"/>
      <c r="AW31" s="19"/>
      <c r="AX31" s="19"/>
      <c r="AY31" s="19"/>
      <c r="AZ31" s="17">
        <v>20000</v>
      </c>
      <c r="BA31" s="17"/>
      <c r="BB31" s="17"/>
      <c r="BC31" s="17">
        <v>20000</v>
      </c>
      <c r="BD31" s="17">
        <v>20000</v>
      </c>
    </row>
    <row r="32" spans="1:56" x14ac:dyDescent="0.25">
      <c r="A32" s="83" t="s">
        <v>117</v>
      </c>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20"/>
      <c r="AF32" s="19"/>
      <c r="AG32" s="19"/>
      <c r="AH32" s="19"/>
      <c r="AI32" s="19"/>
      <c r="AJ32" s="19"/>
      <c r="AK32" s="19"/>
      <c r="AL32" s="19"/>
      <c r="AM32" s="19"/>
      <c r="AN32" s="20"/>
      <c r="AO32" s="19"/>
      <c r="AP32" s="20"/>
      <c r="AQ32" s="20"/>
      <c r="AR32" s="20"/>
      <c r="AS32" s="20"/>
      <c r="AT32" s="19"/>
      <c r="AU32" s="19"/>
      <c r="AV32" s="19"/>
      <c r="AW32" s="19"/>
      <c r="AX32" s="19"/>
      <c r="AY32" s="19"/>
      <c r="AZ32" s="17"/>
      <c r="BA32" s="17">
        <v>20400</v>
      </c>
      <c r="BB32" s="17"/>
      <c r="BC32" s="17">
        <v>1800</v>
      </c>
      <c r="BD32" s="17"/>
    </row>
    <row r="33" spans="1:56" x14ac:dyDescent="0.25">
      <c r="A33" s="83" t="s">
        <v>119</v>
      </c>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20"/>
      <c r="AF33" s="19"/>
      <c r="AG33" s="19"/>
      <c r="AH33" s="19"/>
      <c r="AI33" s="19"/>
      <c r="AJ33" s="19"/>
      <c r="AK33" s="19"/>
      <c r="AL33" s="19"/>
      <c r="AM33" s="19"/>
      <c r="AN33" s="20"/>
      <c r="AO33" s="19"/>
      <c r="AP33" s="20"/>
      <c r="AQ33" s="20"/>
      <c r="AR33" s="20"/>
      <c r="AS33" s="20"/>
      <c r="AT33" s="19"/>
      <c r="AU33" s="19"/>
      <c r="AV33" s="19"/>
      <c r="AW33" s="19">
        <v>22000</v>
      </c>
      <c r="AX33" s="19"/>
      <c r="AY33" s="19"/>
      <c r="AZ33" s="17">
        <v>24000</v>
      </c>
      <c r="BA33" s="17">
        <v>142000</v>
      </c>
      <c r="BB33" s="17"/>
      <c r="BC33" s="17">
        <v>77700</v>
      </c>
      <c r="BD33" s="17">
        <v>77700</v>
      </c>
    </row>
    <row r="34" spans="1:56" x14ac:dyDescent="0.25">
      <c r="A34" s="83" t="s">
        <v>146</v>
      </c>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20"/>
      <c r="AF34" s="19">
        <v>10000</v>
      </c>
      <c r="AG34" s="19"/>
      <c r="AH34" s="19"/>
      <c r="AI34" s="19"/>
      <c r="AJ34" s="19"/>
      <c r="AK34" s="19"/>
      <c r="AL34" s="19"/>
      <c r="AM34" s="19">
        <v>20000</v>
      </c>
      <c r="AN34" s="20"/>
      <c r="AO34" s="19">
        <v>20000</v>
      </c>
      <c r="AP34" s="20"/>
      <c r="AQ34" s="20"/>
      <c r="AR34" s="20"/>
      <c r="AS34" s="20"/>
      <c r="AT34" s="19"/>
      <c r="AU34" s="19"/>
      <c r="AV34" s="19"/>
      <c r="AW34" s="19"/>
      <c r="AX34" s="19"/>
      <c r="AY34" s="19"/>
      <c r="AZ34" s="17">
        <v>5000</v>
      </c>
      <c r="BA34" s="17">
        <v>350000</v>
      </c>
      <c r="BB34" s="17"/>
      <c r="BC34" s="17">
        <v>50000</v>
      </c>
      <c r="BD34" s="17">
        <v>50000</v>
      </c>
    </row>
    <row r="35" spans="1:56" x14ac:dyDescent="0.25">
      <c r="A35" s="83" t="s">
        <v>76</v>
      </c>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20"/>
      <c r="AF35" s="19"/>
      <c r="AG35" s="19"/>
      <c r="AH35" s="19"/>
      <c r="AI35" s="19"/>
      <c r="AJ35" s="19"/>
      <c r="AK35" s="19"/>
      <c r="AL35" s="19"/>
      <c r="AM35" s="19"/>
      <c r="AN35" s="20"/>
      <c r="AO35" s="19"/>
      <c r="AP35" s="20"/>
      <c r="AQ35" s="20"/>
      <c r="AR35" s="20"/>
      <c r="AS35" s="20"/>
      <c r="AT35" s="19"/>
      <c r="AU35" s="19"/>
      <c r="AV35" s="19"/>
      <c r="AW35" s="19"/>
      <c r="AX35" s="19"/>
      <c r="AY35" s="19">
        <v>80000</v>
      </c>
      <c r="AZ35" s="17">
        <v>90000</v>
      </c>
      <c r="BA35" s="17">
        <v>107000</v>
      </c>
      <c r="BB35" s="17"/>
      <c r="BC35" s="17">
        <v>165000</v>
      </c>
      <c r="BD35" s="17">
        <v>165000</v>
      </c>
    </row>
    <row r="36" spans="1:56" x14ac:dyDescent="0.25">
      <c r="A36" s="83" t="s">
        <v>147</v>
      </c>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v>136000</v>
      </c>
      <c r="AE36" s="20"/>
      <c r="AF36" s="19"/>
      <c r="AG36" s="19"/>
      <c r="AH36" s="19"/>
      <c r="AI36" s="19"/>
      <c r="AJ36" s="19"/>
      <c r="AK36" s="19"/>
      <c r="AL36" s="19"/>
      <c r="AM36" s="19"/>
      <c r="AN36" s="20"/>
      <c r="AO36" s="19"/>
      <c r="AP36" s="20"/>
      <c r="AQ36" s="20"/>
      <c r="AR36" s="20"/>
      <c r="AS36" s="20"/>
      <c r="AT36" s="19"/>
      <c r="AU36" s="19"/>
      <c r="AV36" s="19"/>
      <c r="AW36" s="19"/>
      <c r="AX36" s="19"/>
      <c r="AY36" s="19"/>
      <c r="AZ36" s="17"/>
      <c r="BA36" s="17"/>
      <c r="BB36" s="17"/>
      <c r="BC36" s="17"/>
      <c r="BD36" s="17"/>
    </row>
    <row r="37" spans="1:56" x14ac:dyDescent="0.25">
      <c r="A37" s="34" t="s">
        <v>148</v>
      </c>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v>68000</v>
      </c>
      <c r="AD37" s="19"/>
      <c r="AE37" s="20"/>
      <c r="AF37" s="19">
        <v>36400</v>
      </c>
      <c r="AG37" s="19"/>
      <c r="AH37" s="19"/>
      <c r="AI37" s="19"/>
      <c r="AJ37" s="19"/>
      <c r="AK37" s="19">
        <f>44000+12000</f>
        <v>56000</v>
      </c>
      <c r="AL37" s="19">
        <v>72000</v>
      </c>
      <c r="AM37" s="19">
        <v>52500</v>
      </c>
      <c r="AN37" s="20"/>
      <c r="AO37" s="19"/>
      <c r="AP37" s="20"/>
      <c r="AQ37" s="20"/>
      <c r="AR37" s="20"/>
      <c r="AS37" s="20"/>
      <c r="AT37" s="19"/>
      <c r="AU37" s="19"/>
      <c r="AV37" s="19"/>
      <c r="AW37" s="19"/>
      <c r="AX37" s="19"/>
      <c r="AY37" s="19"/>
      <c r="AZ37" s="17"/>
      <c r="BA37" s="17"/>
      <c r="BB37" s="17"/>
      <c r="BC37" s="17"/>
      <c r="BD37" s="17"/>
    </row>
    <row r="38" spans="1:56" x14ac:dyDescent="0.25">
      <c r="A38" s="83" t="s">
        <v>149</v>
      </c>
      <c r="B38" s="19"/>
      <c r="C38" s="19"/>
      <c r="D38" s="19"/>
      <c r="E38" s="19"/>
      <c r="F38" s="19"/>
      <c r="G38" s="19"/>
      <c r="H38" s="19"/>
      <c r="I38" s="19"/>
      <c r="J38" s="19"/>
      <c r="K38" s="19"/>
      <c r="L38" s="19"/>
      <c r="M38" s="19"/>
      <c r="N38" s="19"/>
      <c r="O38" s="19"/>
      <c r="P38" s="19">
        <v>170900</v>
      </c>
      <c r="Q38" s="19"/>
      <c r="R38" s="19"/>
      <c r="S38" s="19"/>
      <c r="T38" s="19"/>
      <c r="U38" s="19"/>
      <c r="V38" s="19"/>
      <c r="W38" s="19"/>
      <c r="X38" s="19"/>
      <c r="Y38" s="19"/>
      <c r="Z38" s="19">
        <v>62000</v>
      </c>
      <c r="AA38" s="19"/>
      <c r="AB38" s="19">
        <v>104000</v>
      </c>
      <c r="AC38" s="19"/>
      <c r="AD38" s="19"/>
      <c r="AE38" s="20"/>
      <c r="AF38" s="19"/>
      <c r="AG38" s="19"/>
      <c r="AH38" s="19"/>
      <c r="AI38" s="19"/>
      <c r="AJ38" s="19"/>
      <c r="AK38" s="19"/>
      <c r="AL38" s="19"/>
      <c r="AM38" s="19"/>
      <c r="AN38" s="20"/>
      <c r="AO38" s="19"/>
      <c r="AP38" s="20"/>
      <c r="AQ38" s="20"/>
      <c r="AR38" s="20"/>
      <c r="AS38" s="20"/>
      <c r="AT38" s="19"/>
      <c r="AU38" s="19"/>
      <c r="AV38" s="19"/>
      <c r="AW38" s="19"/>
      <c r="AX38" s="19"/>
      <c r="AY38" s="19"/>
      <c r="AZ38" s="17"/>
      <c r="BA38" s="17"/>
      <c r="BB38" s="17"/>
      <c r="BC38" s="17"/>
      <c r="BD38" s="17"/>
    </row>
    <row r="39" spans="1:56" x14ac:dyDescent="0.25">
      <c r="A39" s="34" t="s">
        <v>912</v>
      </c>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20"/>
      <c r="AF39" s="19"/>
      <c r="AG39" s="19"/>
      <c r="AH39" s="19"/>
      <c r="AI39" s="19"/>
      <c r="AJ39" s="19"/>
      <c r="AK39" s="19"/>
      <c r="AL39" s="19"/>
      <c r="AM39" s="19"/>
      <c r="AN39" s="20"/>
      <c r="AO39" s="19"/>
      <c r="AP39" s="20"/>
      <c r="AQ39" s="20"/>
      <c r="AR39" s="20"/>
      <c r="AS39" s="20"/>
      <c r="AT39" s="19"/>
      <c r="AU39" s="19"/>
      <c r="AV39" s="19"/>
      <c r="AW39" s="19"/>
      <c r="AX39" s="19"/>
      <c r="AY39" s="19">
        <v>75000</v>
      </c>
      <c r="AZ39" s="17">
        <v>150000</v>
      </c>
      <c r="BA39" s="17">
        <v>60000</v>
      </c>
      <c r="BB39" s="17"/>
      <c r="BC39" s="17">
        <v>30000</v>
      </c>
      <c r="BD39" s="17">
        <v>30000</v>
      </c>
    </row>
    <row r="40" spans="1:56" ht="30" x14ac:dyDescent="0.25">
      <c r="A40" s="157" t="s">
        <v>1093</v>
      </c>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20"/>
      <c r="AF40" s="19"/>
      <c r="AG40" s="19"/>
      <c r="AH40" s="19"/>
      <c r="AI40" s="19"/>
      <c r="AJ40" s="19"/>
      <c r="AK40" s="19"/>
      <c r="AL40" s="19"/>
      <c r="AM40" s="19"/>
      <c r="AN40" s="20"/>
      <c r="AO40" s="19"/>
      <c r="AP40" s="20"/>
      <c r="AQ40" s="20"/>
      <c r="AR40" s="20"/>
      <c r="AS40" s="20"/>
      <c r="AT40" s="19"/>
      <c r="AV40" s="19"/>
      <c r="AW40" s="19"/>
      <c r="AX40" s="19"/>
      <c r="AY40" s="19"/>
      <c r="AZ40" s="17"/>
      <c r="BA40" s="17"/>
      <c r="BB40" s="17"/>
      <c r="BC40" s="17">
        <v>20000</v>
      </c>
      <c r="BD40" s="17">
        <v>40000</v>
      </c>
    </row>
    <row r="41" spans="1:56" x14ac:dyDescent="0.25">
      <c r="A41" s="34" t="s">
        <v>277</v>
      </c>
      <c r="B41" s="19"/>
      <c r="C41" s="19"/>
      <c r="D41" s="19"/>
      <c r="E41" s="19"/>
      <c r="F41" s="19"/>
      <c r="G41" s="19"/>
      <c r="H41" s="19"/>
      <c r="I41" s="19"/>
      <c r="J41" s="19"/>
      <c r="K41" s="19"/>
      <c r="L41" s="19"/>
      <c r="M41" s="19"/>
      <c r="N41" s="19"/>
      <c r="O41" s="19"/>
      <c r="P41" s="19"/>
      <c r="Q41" s="19"/>
      <c r="R41" s="19"/>
      <c r="S41" s="19"/>
      <c r="T41" s="19"/>
      <c r="U41" s="19"/>
      <c r="V41" s="19"/>
      <c r="W41" s="19"/>
      <c r="X41" s="19"/>
      <c r="Y41" s="19"/>
      <c r="Z41" s="19">
        <v>120000</v>
      </c>
      <c r="AA41" s="19">
        <v>30000</v>
      </c>
      <c r="AB41" s="19"/>
      <c r="AC41" s="19">
        <v>60000</v>
      </c>
      <c r="AD41" s="19"/>
      <c r="AE41" s="20"/>
      <c r="AF41" s="19">
        <v>30000</v>
      </c>
      <c r="AG41" s="19"/>
      <c r="AH41" s="19"/>
      <c r="AI41" s="19"/>
      <c r="AJ41" s="19"/>
      <c r="AK41" s="19"/>
      <c r="AL41" s="19">
        <v>30000</v>
      </c>
      <c r="AM41" s="19">
        <v>280000</v>
      </c>
      <c r="AN41" s="20"/>
      <c r="AO41" s="19"/>
      <c r="AP41" s="20"/>
      <c r="AQ41" s="20"/>
      <c r="AR41" s="20"/>
      <c r="AS41" s="20"/>
      <c r="AT41" s="19"/>
      <c r="AU41" s="19"/>
      <c r="AV41" s="19"/>
      <c r="AW41" s="19"/>
      <c r="AX41" s="19"/>
      <c r="AY41" s="19"/>
      <c r="AZ41" s="17">
        <v>120000</v>
      </c>
      <c r="BA41" s="17">
        <v>75000</v>
      </c>
      <c r="BB41" s="17"/>
      <c r="BC41" s="17"/>
      <c r="BD41" s="17"/>
    </row>
    <row r="42" spans="1:56" x14ac:dyDescent="0.25">
      <c r="A42" s="83" t="s">
        <v>121</v>
      </c>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20"/>
      <c r="AF42" s="19"/>
      <c r="AG42" s="19"/>
      <c r="AH42" s="19"/>
      <c r="AI42" s="19"/>
      <c r="AJ42" s="19"/>
      <c r="AK42" s="19"/>
      <c r="AL42" s="19"/>
      <c r="AM42" s="19">
        <v>284000</v>
      </c>
      <c r="AN42" s="20"/>
      <c r="AO42" s="19"/>
      <c r="AP42" s="20"/>
      <c r="AQ42" s="20"/>
      <c r="AR42" s="20"/>
      <c r="AS42" s="20"/>
      <c r="AT42" s="19">
        <v>672700</v>
      </c>
      <c r="AU42" s="19">
        <f>311500+228000</f>
        <v>539500</v>
      </c>
      <c r="AV42" s="19"/>
      <c r="AW42" s="19"/>
      <c r="AX42" s="19"/>
      <c r="AY42" s="19">
        <v>192010</v>
      </c>
      <c r="AZ42" s="17"/>
      <c r="BA42" s="17">
        <f>63000+135000+249000</f>
        <v>447000</v>
      </c>
      <c r="BB42" s="17"/>
      <c r="BC42" s="17">
        <f>90000+40000</f>
        <v>130000</v>
      </c>
      <c r="BD42" s="17">
        <f>36400+90000+40000</f>
        <v>166400</v>
      </c>
    </row>
    <row r="43" spans="1:56" x14ac:dyDescent="0.25">
      <c r="A43" s="83" t="s">
        <v>113</v>
      </c>
      <c r="B43" s="19"/>
      <c r="C43" s="19"/>
      <c r="D43" s="19"/>
      <c r="E43" s="19"/>
      <c r="F43" s="19"/>
      <c r="G43" s="19"/>
      <c r="H43" s="19"/>
      <c r="I43" s="19"/>
      <c r="J43" s="19"/>
      <c r="K43" s="19"/>
      <c r="L43" s="19"/>
      <c r="M43" s="19"/>
      <c r="N43" s="19"/>
      <c r="O43" s="19"/>
      <c r="P43" s="19"/>
      <c r="Q43" s="19">
        <v>71400</v>
      </c>
      <c r="R43" s="18">
        <f>(Q43/15)*12</f>
        <v>57120</v>
      </c>
      <c r="S43" s="19">
        <v>106400</v>
      </c>
      <c r="T43" s="19"/>
      <c r="U43" s="19">
        <v>6400</v>
      </c>
      <c r="V43" s="19"/>
      <c r="W43" s="19">
        <v>32000</v>
      </c>
      <c r="X43" s="19">
        <v>83600</v>
      </c>
      <c r="Y43" s="19"/>
      <c r="Z43" s="19">
        <v>114800</v>
      </c>
      <c r="AA43" s="19"/>
      <c r="AB43" s="19"/>
      <c r="AC43" s="19"/>
      <c r="AD43" s="19"/>
      <c r="AE43" s="20"/>
      <c r="AF43" s="19"/>
      <c r="AG43" s="19">
        <v>92800</v>
      </c>
      <c r="AH43" s="19">
        <v>205600</v>
      </c>
      <c r="AI43" s="19">
        <v>243200</v>
      </c>
      <c r="AJ43" s="19"/>
      <c r="AK43" s="19">
        <v>185600</v>
      </c>
      <c r="AL43" s="19">
        <v>307200</v>
      </c>
      <c r="AM43" s="19">
        <v>172800</v>
      </c>
      <c r="AN43" s="20"/>
      <c r="AO43" s="19">
        <v>128000</v>
      </c>
      <c r="AP43" s="20"/>
      <c r="AQ43" s="20"/>
      <c r="AR43" s="20"/>
      <c r="AS43" s="20"/>
      <c r="AT43" s="19"/>
      <c r="AU43" s="19"/>
      <c r="AV43" s="19"/>
      <c r="AW43" s="19"/>
      <c r="AX43" s="19"/>
      <c r="AY43" s="19"/>
      <c r="AZ43" s="17"/>
      <c r="BA43" s="17"/>
      <c r="BB43" s="17"/>
      <c r="BC43" s="17"/>
      <c r="BD43" s="17"/>
    </row>
    <row r="44" spans="1:56" x14ac:dyDescent="0.25">
      <c r="A44" s="83" t="s">
        <v>150</v>
      </c>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20"/>
      <c r="AF44" s="19"/>
      <c r="AG44" s="19"/>
      <c r="AH44" s="19"/>
      <c r="AI44" s="19"/>
      <c r="AJ44" s="19"/>
      <c r="AK44" s="19"/>
      <c r="AL44" s="19"/>
      <c r="AM44" s="19">
        <v>45000</v>
      </c>
      <c r="AN44" s="20"/>
      <c r="AO44" s="19"/>
      <c r="AP44" s="20"/>
      <c r="AQ44" s="20"/>
      <c r="AR44" s="20"/>
      <c r="AS44" s="20"/>
      <c r="AT44" s="19"/>
      <c r="AU44" s="19"/>
      <c r="AV44" s="19"/>
      <c r="AW44" s="19"/>
      <c r="AX44" s="19"/>
      <c r="AY44" s="19">
        <v>149500</v>
      </c>
      <c r="AZ44" s="17">
        <v>180000</v>
      </c>
      <c r="BA44" s="17"/>
      <c r="BB44" s="17"/>
      <c r="BC44" s="17">
        <v>236500</v>
      </c>
      <c r="BD44" s="17">
        <v>250000</v>
      </c>
    </row>
    <row r="45" spans="1:56" x14ac:dyDescent="0.25">
      <c r="A45" s="83" t="s">
        <v>680</v>
      </c>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20"/>
      <c r="AF45" s="19"/>
      <c r="AG45" s="19"/>
      <c r="AH45" s="19"/>
      <c r="AI45" s="19"/>
      <c r="AJ45" s="19"/>
      <c r="AK45" s="19"/>
      <c r="AL45" s="19"/>
      <c r="AM45" s="19"/>
      <c r="AN45" s="20"/>
      <c r="AO45" s="19"/>
      <c r="AP45" s="20"/>
      <c r="AQ45" s="20"/>
      <c r="AR45" s="20"/>
      <c r="AS45" s="20"/>
      <c r="AT45" s="19"/>
      <c r="AU45" s="19"/>
      <c r="AV45" s="19"/>
      <c r="AW45" s="19"/>
      <c r="AX45" s="19"/>
      <c r="AY45" s="19"/>
      <c r="AZ45" s="17"/>
      <c r="BA45" s="17">
        <v>15000</v>
      </c>
      <c r="BB45" s="17"/>
      <c r="BC45" s="17">
        <v>60000</v>
      </c>
      <c r="BD45" s="17">
        <v>60000</v>
      </c>
    </row>
    <row r="46" spans="1:56" x14ac:dyDescent="0.25">
      <c r="A46" s="34" t="s">
        <v>432</v>
      </c>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20"/>
      <c r="AF46" s="19"/>
      <c r="AG46" s="19"/>
      <c r="AH46" s="19"/>
      <c r="AI46" s="19"/>
      <c r="AJ46" s="19"/>
      <c r="AK46" s="19"/>
      <c r="AL46" s="19"/>
      <c r="AM46" s="19">
        <v>25600</v>
      </c>
      <c r="AN46" s="20"/>
      <c r="AO46" s="19"/>
      <c r="AP46" s="20"/>
      <c r="AQ46" s="20"/>
      <c r="AR46" s="20"/>
      <c r="AS46" s="20"/>
      <c r="AT46" s="19"/>
      <c r="AU46" s="19"/>
      <c r="AV46" s="19"/>
      <c r="AW46" s="19"/>
      <c r="AX46" s="19"/>
      <c r="AY46" s="19">
        <v>12000</v>
      </c>
      <c r="AZ46" s="17">
        <v>27000</v>
      </c>
      <c r="BA46" s="17">
        <v>36000</v>
      </c>
      <c r="BB46" s="17"/>
      <c r="BC46" s="17">
        <v>36400</v>
      </c>
      <c r="BD46" s="17"/>
    </row>
    <row r="47" spans="1:56" x14ac:dyDescent="0.25">
      <c r="A47" s="34" t="s">
        <v>286</v>
      </c>
      <c r="B47" s="19"/>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20"/>
      <c r="AF47" s="19"/>
      <c r="AG47" s="19"/>
      <c r="AH47" s="19"/>
      <c r="AI47" s="19"/>
      <c r="AJ47" s="19"/>
      <c r="AK47" s="19"/>
      <c r="AL47" s="19"/>
      <c r="AM47" s="19"/>
      <c r="AN47" s="20"/>
      <c r="AO47" s="19"/>
      <c r="AP47" s="20"/>
      <c r="AQ47" s="20"/>
      <c r="AR47" s="20"/>
      <c r="AS47" s="20"/>
      <c r="AT47" s="19"/>
      <c r="AU47" s="19"/>
      <c r="AV47" s="19"/>
      <c r="AW47" s="19"/>
      <c r="AX47" s="19"/>
      <c r="AY47" s="19">
        <v>65000</v>
      </c>
      <c r="AZ47" s="17">
        <v>60000</v>
      </c>
      <c r="BA47" s="17">
        <v>80000</v>
      </c>
      <c r="BB47" s="17"/>
      <c r="BC47" s="17">
        <v>100000</v>
      </c>
      <c r="BD47" s="17">
        <v>100000</v>
      </c>
    </row>
    <row r="48" spans="1:56" x14ac:dyDescent="0.25">
      <c r="A48" s="157" t="s">
        <v>1082</v>
      </c>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20"/>
      <c r="AF48" s="19"/>
      <c r="AG48" s="19"/>
      <c r="AH48" s="19"/>
      <c r="AI48" s="19"/>
      <c r="AJ48" s="19"/>
      <c r="AK48" s="19"/>
      <c r="AL48" s="19"/>
      <c r="AM48" s="19">
        <f>76800</f>
        <v>76800</v>
      </c>
      <c r="AN48" s="20"/>
      <c r="AO48" s="19">
        <v>45000</v>
      </c>
      <c r="AP48" s="20"/>
      <c r="AQ48" s="20"/>
      <c r="AR48" s="20"/>
      <c r="AS48" s="20"/>
      <c r="AT48" s="19"/>
      <c r="AU48" s="19"/>
      <c r="AV48" s="19"/>
      <c r="AW48" s="19"/>
      <c r="AX48" s="19"/>
      <c r="AY48" s="19">
        <v>79200</v>
      </c>
      <c r="AZ48" s="17">
        <v>79200</v>
      </c>
      <c r="BA48" s="17">
        <v>99000</v>
      </c>
      <c r="BB48" s="17"/>
      <c r="BC48" s="17">
        <v>72800</v>
      </c>
      <c r="BD48" s="17">
        <v>72800</v>
      </c>
    </row>
    <row r="49" spans="1:56" x14ac:dyDescent="0.25">
      <c r="A49" s="83" t="s">
        <v>916</v>
      </c>
      <c r="B49" s="19"/>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20"/>
      <c r="AF49" s="19"/>
      <c r="AG49" s="19"/>
      <c r="AH49" s="19"/>
      <c r="AI49" s="19"/>
      <c r="AJ49" s="19"/>
      <c r="AK49" s="19"/>
      <c r="AL49" s="19"/>
      <c r="AM49" s="19"/>
      <c r="AN49" s="20"/>
      <c r="AO49" s="19"/>
      <c r="AP49" s="20"/>
      <c r="AQ49" s="20"/>
      <c r="AR49" s="20"/>
      <c r="AS49" s="20"/>
      <c r="AT49" s="19"/>
      <c r="AU49" s="19"/>
      <c r="AV49" s="19"/>
      <c r="AW49" s="19">
        <v>195500</v>
      </c>
      <c r="AX49" s="19"/>
      <c r="AY49" s="19">
        <v>244000</v>
      </c>
      <c r="AZ49" s="17"/>
      <c r="BA49" s="17"/>
      <c r="BB49" s="17"/>
      <c r="BC49" s="17"/>
      <c r="BD49" s="17"/>
    </row>
    <row r="50" spans="1:56" x14ac:dyDescent="0.25">
      <c r="A50" s="83" t="s">
        <v>142</v>
      </c>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20"/>
      <c r="AF50" s="19"/>
      <c r="AG50" s="19"/>
      <c r="AH50" s="19"/>
      <c r="AI50" s="19"/>
      <c r="AJ50" s="19"/>
      <c r="AK50" s="19"/>
      <c r="AL50" s="19"/>
      <c r="AM50" s="19"/>
      <c r="AN50" s="20"/>
      <c r="AO50" s="19"/>
      <c r="AP50" s="20"/>
      <c r="AQ50" s="20"/>
      <c r="AR50" s="20"/>
      <c r="AS50" s="20"/>
      <c r="AT50" s="19"/>
      <c r="AU50" s="19"/>
      <c r="AV50" s="19"/>
      <c r="AW50" s="19"/>
      <c r="AX50" s="19"/>
      <c r="AY50" s="19"/>
      <c r="AZ50" s="17">
        <v>2400</v>
      </c>
      <c r="BA50" s="17"/>
      <c r="BB50" s="17"/>
      <c r="BC50" s="17"/>
      <c r="BD50" s="17"/>
    </row>
    <row r="51" spans="1:56" x14ac:dyDescent="0.25">
      <c r="A51" s="34" t="s">
        <v>281</v>
      </c>
      <c r="B51" s="19"/>
      <c r="C51" s="19"/>
      <c r="D51" s="19"/>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20"/>
      <c r="AF51" s="19"/>
      <c r="AG51" s="19">
        <v>77650</v>
      </c>
      <c r="AH51" s="19">
        <v>126000</v>
      </c>
      <c r="AI51" s="19">
        <v>105100</v>
      </c>
      <c r="AJ51" s="19"/>
      <c r="AK51" s="19"/>
      <c r="AL51" s="19"/>
      <c r="AM51" s="19"/>
      <c r="AN51" s="20"/>
      <c r="AO51" s="19"/>
      <c r="AP51" s="20"/>
      <c r="AQ51" s="20"/>
      <c r="AR51" s="20"/>
      <c r="AS51" s="20"/>
      <c r="AT51" s="19"/>
      <c r="AU51" s="19"/>
      <c r="AV51" s="19"/>
      <c r="AW51" s="19"/>
      <c r="AX51" s="19"/>
      <c r="AY51" s="19"/>
      <c r="AZ51" s="17"/>
      <c r="BA51" s="17"/>
      <c r="BB51" s="17"/>
      <c r="BC51" s="17">
        <v>2577028</v>
      </c>
      <c r="BD51" s="17">
        <v>2600000</v>
      </c>
    </row>
    <row r="52" spans="1:56" x14ac:dyDescent="0.25">
      <c r="A52" s="83" t="s">
        <v>919</v>
      </c>
      <c r="B52" s="19"/>
      <c r="C52" s="19"/>
      <c r="D52" s="19"/>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20"/>
      <c r="AF52" s="19"/>
      <c r="AG52" s="19"/>
      <c r="AH52" s="19"/>
      <c r="AI52" s="19"/>
      <c r="AJ52" s="19"/>
      <c r="AK52" s="19"/>
      <c r="AL52" s="19"/>
      <c r="AM52" s="19">
        <v>70000</v>
      </c>
      <c r="AN52" s="20"/>
      <c r="AO52" s="19">
        <v>51000</v>
      </c>
      <c r="AP52" s="20"/>
      <c r="AQ52" s="20"/>
      <c r="AR52" s="20"/>
      <c r="AS52" s="20"/>
      <c r="AT52" s="19"/>
      <c r="AU52" s="19"/>
      <c r="AV52" s="19"/>
      <c r="AW52" s="19"/>
      <c r="AX52" s="19"/>
      <c r="AY52" s="19"/>
      <c r="AZ52" s="17"/>
      <c r="BA52" s="17"/>
      <c r="BB52" s="17"/>
      <c r="BC52" s="17"/>
      <c r="BD52" s="17"/>
    </row>
    <row r="53" spans="1:56" x14ac:dyDescent="0.25">
      <c r="A53" s="83" t="s">
        <v>118</v>
      </c>
      <c r="B53" s="19"/>
      <c r="C53" s="19"/>
      <c r="D53" s="1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20"/>
      <c r="AF53" s="19"/>
      <c r="AG53" s="19"/>
      <c r="AH53" s="19"/>
      <c r="AI53" s="19"/>
      <c r="AJ53" s="19"/>
      <c r="AK53" s="19"/>
      <c r="AL53" s="19"/>
      <c r="AM53" s="19"/>
      <c r="AN53" s="20"/>
      <c r="AO53" s="19"/>
      <c r="AP53" s="20"/>
      <c r="AQ53" s="20"/>
      <c r="AR53" s="20"/>
      <c r="AS53" s="20"/>
      <c r="AT53" s="19"/>
      <c r="AU53" s="19"/>
      <c r="AV53" s="19"/>
      <c r="AW53" s="19"/>
      <c r="AX53" s="19"/>
      <c r="AY53" s="19"/>
      <c r="AZ53" s="17"/>
      <c r="BA53" s="17"/>
      <c r="BB53" s="17"/>
      <c r="BC53" s="17">
        <v>62500</v>
      </c>
      <c r="BD53" s="17">
        <v>60000</v>
      </c>
    </row>
    <row r="54" spans="1:56" x14ac:dyDescent="0.25">
      <c r="A54" s="158" t="s">
        <v>921</v>
      </c>
      <c r="B54" s="19"/>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20"/>
      <c r="AF54" s="19"/>
      <c r="AG54" s="19"/>
      <c r="AH54" s="19"/>
      <c r="AI54" s="19"/>
      <c r="AJ54" s="19"/>
      <c r="AK54" s="19"/>
      <c r="AL54" s="19"/>
      <c r="AM54" s="19"/>
      <c r="AN54" s="20"/>
      <c r="AO54" s="19">
        <v>146160</v>
      </c>
      <c r="AP54" s="20"/>
      <c r="AQ54" s="20"/>
      <c r="AR54" s="20"/>
      <c r="AS54" s="20"/>
      <c r="AT54" s="19">
        <v>465000</v>
      </c>
      <c r="AU54" s="19">
        <v>536660</v>
      </c>
      <c r="AV54" s="19"/>
      <c r="AW54" s="19">
        <v>562600</v>
      </c>
      <c r="AX54" s="19"/>
      <c r="AY54" s="19">
        <v>540500</v>
      </c>
      <c r="AZ54" s="17">
        <v>1136000</v>
      </c>
      <c r="BA54" s="17">
        <v>1177100</v>
      </c>
      <c r="BB54" s="17"/>
      <c r="BC54" s="17">
        <v>2167200</v>
      </c>
      <c r="BD54" s="17">
        <v>2200000</v>
      </c>
    </row>
    <row r="55" spans="1:56" x14ac:dyDescent="0.25">
      <c r="A55" s="158" t="s">
        <v>922</v>
      </c>
      <c r="B55" s="19">
        <v>640</v>
      </c>
      <c r="C55" s="19"/>
      <c r="D55" s="19">
        <v>320</v>
      </c>
      <c r="E55" s="19">
        <v>960</v>
      </c>
      <c r="F55" s="19">
        <f>320</f>
        <v>320</v>
      </c>
      <c r="G55" s="19">
        <v>1600</v>
      </c>
      <c r="H55" s="19">
        <v>3040</v>
      </c>
      <c r="I55" s="19">
        <v>1080</v>
      </c>
      <c r="J55" s="19"/>
      <c r="K55" s="19">
        <v>3040</v>
      </c>
      <c r="L55" s="19">
        <v>1920</v>
      </c>
      <c r="M55" s="19">
        <v>1260</v>
      </c>
      <c r="N55" s="19">
        <v>2020</v>
      </c>
      <c r="O55" s="19"/>
      <c r="P55" s="19">
        <v>1920</v>
      </c>
      <c r="Q55" s="19">
        <v>3520</v>
      </c>
      <c r="R55" s="18">
        <f>(Q55/15)*12</f>
        <v>2816</v>
      </c>
      <c r="S55" s="19">
        <v>2100</v>
      </c>
      <c r="T55" s="19"/>
      <c r="U55" s="19">
        <v>6720</v>
      </c>
      <c r="V55" s="19"/>
      <c r="W55" s="19">
        <v>6140</v>
      </c>
      <c r="X55" s="19">
        <v>21300</v>
      </c>
      <c r="Y55" s="19"/>
      <c r="Z55" s="19"/>
      <c r="AA55" s="19">
        <v>72000</v>
      </c>
      <c r="AB55" s="19">
        <v>100000</v>
      </c>
      <c r="AC55" s="19">
        <v>72000</v>
      </c>
      <c r="AD55" s="19"/>
      <c r="AE55" s="20"/>
      <c r="AF55" s="19"/>
      <c r="AG55" s="19"/>
      <c r="AH55" s="19"/>
      <c r="AI55" s="19"/>
      <c r="AJ55" s="19"/>
      <c r="AK55" s="19"/>
      <c r="AL55" s="19"/>
      <c r="AM55" s="19"/>
      <c r="AN55" s="20"/>
      <c r="AO55" s="19"/>
      <c r="AP55" s="20"/>
      <c r="AQ55" s="20"/>
      <c r="AR55" s="20"/>
      <c r="AS55" s="20"/>
      <c r="AT55" s="19"/>
      <c r="AU55" s="19"/>
      <c r="AV55" s="19"/>
      <c r="AW55" s="19"/>
      <c r="AX55" s="19"/>
      <c r="AY55" s="19"/>
      <c r="AZ55" s="17"/>
      <c r="BA55" s="17"/>
      <c r="BB55" s="17"/>
      <c r="BC55" s="17"/>
      <c r="BD55" s="17"/>
    </row>
    <row r="56" spans="1:56" x14ac:dyDescent="0.25">
      <c r="A56" s="158" t="s">
        <v>77</v>
      </c>
      <c r="B56" s="19"/>
      <c r="C56" s="19"/>
      <c r="D56" s="19"/>
      <c r="E56" s="19"/>
      <c r="F56" s="19"/>
      <c r="G56" s="19"/>
      <c r="H56" s="19"/>
      <c r="I56" s="19"/>
      <c r="J56" s="19"/>
      <c r="K56" s="19"/>
      <c r="L56" s="19"/>
      <c r="M56" s="19"/>
      <c r="N56" s="19"/>
      <c r="O56" s="19"/>
      <c r="P56" s="19"/>
      <c r="Q56" s="19"/>
      <c r="R56" s="19"/>
      <c r="S56" s="19"/>
      <c r="T56" s="19"/>
      <c r="U56" s="19"/>
      <c r="V56" s="19"/>
      <c r="W56" s="19"/>
      <c r="X56" s="19"/>
      <c r="Y56" s="19"/>
      <c r="Z56" s="19"/>
      <c r="AA56" s="19">
        <v>164000</v>
      </c>
      <c r="AB56" s="19"/>
      <c r="AC56" s="19"/>
      <c r="AD56" s="19"/>
      <c r="AE56" s="20"/>
      <c r="AF56" s="19"/>
      <c r="AG56" s="19"/>
      <c r="AH56" s="19"/>
      <c r="AI56" s="19"/>
      <c r="AJ56" s="19"/>
      <c r="AK56" s="19"/>
      <c r="AL56" s="19"/>
      <c r="AM56" s="19">
        <v>118000</v>
      </c>
      <c r="AN56" s="20"/>
      <c r="AO56" s="19">
        <v>142000</v>
      </c>
      <c r="AP56" s="20"/>
      <c r="AQ56" s="20"/>
      <c r="AR56" s="20"/>
      <c r="AS56" s="20"/>
      <c r="AT56" s="19"/>
      <c r="AU56" s="19"/>
      <c r="AV56" s="19"/>
      <c r="AW56" s="19"/>
      <c r="AX56" s="19"/>
      <c r="AY56" s="19"/>
      <c r="AZ56" s="17"/>
      <c r="BA56" s="17"/>
      <c r="BB56" s="17"/>
      <c r="BC56" s="17"/>
      <c r="BD56" s="17"/>
    </row>
    <row r="57" spans="1:56" x14ac:dyDescent="0.25">
      <c r="A57" s="158" t="s">
        <v>78</v>
      </c>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20"/>
      <c r="AF57" s="19"/>
      <c r="AG57" s="19"/>
      <c r="AH57" s="19"/>
      <c r="AI57" s="19"/>
      <c r="AJ57" s="19"/>
      <c r="AK57" s="19"/>
      <c r="AL57" s="19"/>
      <c r="AM57" s="19"/>
      <c r="AN57" s="20"/>
      <c r="AO57" s="19"/>
      <c r="AP57" s="20"/>
      <c r="AQ57" s="20"/>
      <c r="AR57" s="20"/>
      <c r="AS57" s="20"/>
      <c r="AT57" s="19">
        <v>740000</v>
      </c>
      <c r="AU57" s="19">
        <v>662000</v>
      </c>
      <c r="AV57" s="19"/>
      <c r="AW57" s="19">
        <v>100000</v>
      </c>
      <c r="AX57" s="19"/>
      <c r="AY57" s="19">
        <v>100000</v>
      </c>
      <c r="AZ57" s="17">
        <v>200000</v>
      </c>
      <c r="BA57" s="17">
        <v>100000</v>
      </c>
      <c r="BB57" s="17"/>
      <c r="BC57" s="17">
        <v>20000</v>
      </c>
      <c r="BD57" s="17"/>
    </row>
    <row r="58" spans="1:56" x14ac:dyDescent="0.25">
      <c r="A58" s="157" t="s">
        <v>116</v>
      </c>
      <c r="B58" s="19"/>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20"/>
      <c r="AF58" s="19"/>
      <c r="AG58" s="19"/>
      <c r="AH58" s="19"/>
      <c r="AI58" s="19"/>
      <c r="AJ58" s="19"/>
      <c r="AK58" s="19"/>
      <c r="AL58" s="19"/>
      <c r="AM58" s="19"/>
      <c r="AN58" s="20"/>
      <c r="AO58" s="19"/>
      <c r="AP58" s="20"/>
      <c r="AQ58" s="20"/>
      <c r="AR58" s="20"/>
      <c r="AS58" s="20"/>
      <c r="AT58" s="19"/>
      <c r="AU58" s="19"/>
      <c r="AV58" s="19"/>
      <c r="AW58" s="19"/>
      <c r="AX58" s="19"/>
      <c r="AY58" s="19"/>
      <c r="AZ58" s="17"/>
      <c r="BA58" s="17">
        <v>20000</v>
      </c>
      <c r="BB58" s="17"/>
      <c r="BC58" s="17"/>
      <c r="BD58" s="17"/>
    </row>
    <row r="59" spans="1:56" x14ac:dyDescent="0.25">
      <c r="A59" s="99" t="s">
        <v>997</v>
      </c>
      <c r="B59" s="19"/>
      <c r="C59" s="19"/>
      <c r="D59" s="19"/>
      <c r="E59" s="19"/>
      <c r="F59" s="19"/>
      <c r="G59" s="19"/>
      <c r="H59" s="19"/>
      <c r="I59" s="19"/>
      <c r="J59" s="19"/>
      <c r="K59" s="19"/>
      <c r="L59" s="19"/>
      <c r="M59" s="19"/>
      <c r="N59" s="19"/>
      <c r="O59" s="19"/>
      <c r="P59" s="19"/>
      <c r="Q59" s="19"/>
      <c r="R59" s="19"/>
      <c r="S59" s="19"/>
      <c r="T59" s="19"/>
      <c r="U59" s="19"/>
      <c r="V59" s="19"/>
      <c r="W59" s="19"/>
      <c r="X59" s="19"/>
      <c r="Y59" s="19"/>
      <c r="Z59" s="19"/>
      <c r="AA59" s="19">
        <v>247800</v>
      </c>
      <c r="AB59" s="19"/>
      <c r="AC59" s="19">
        <v>70000</v>
      </c>
      <c r="AD59" s="19"/>
      <c r="AE59" s="20"/>
      <c r="AF59" s="19"/>
      <c r="AG59" s="19"/>
      <c r="AH59" s="19"/>
      <c r="AI59" s="19"/>
      <c r="AJ59" s="19"/>
      <c r="AK59" s="19">
        <v>64000</v>
      </c>
      <c r="AL59" s="19">
        <v>122000</v>
      </c>
      <c r="AM59" s="19"/>
      <c r="AN59" s="20"/>
      <c r="AO59" s="19"/>
      <c r="AP59" s="20"/>
      <c r="AQ59" s="20"/>
      <c r="AR59" s="20"/>
      <c r="AS59" s="20"/>
      <c r="AT59" s="19"/>
      <c r="AU59" s="19"/>
      <c r="AV59" s="19"/>
      <c r="AW59" s="19"/>
      <c r="AX59" s="19"/>
      <c r="AY59" s="19"/>
      <c r="AZ59" s="17"/>
      <c r="BA59" s="17"/>
      <c r="BB59" s="17"/>
      <c r="BC59" s="17"/>
      <c r="BD59" s="17"/>
    </row>
    <row r="60" spans="1:56" x14ac:dyDescent="0.25">
      <c r="A60" s="83" t="s">
        <v>920</v>
      </c>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20"/>
      <c r="AF60" s="19"/>
      <c r="AG60" s="19"/>
      <c r="AH60" s="19"/>
      <c r="AI60" s="19"/>
      <c r="AJ60" s="19"/>
      <c r="AK60" s="19"/>
      <c r="AL60" s="19"/>
      <c r="AM60" s="19"/>
      <c r="AN60" s="20"/>
      <c r="AO60" s="19"/>
      <c r="AP60" s="20"/>
      <c r="AQ60" s="20"/>
      <c r="AR60" s="20"/>
      <c r="AS60" s="20"/>
      <c r="AT60" s="19"/>
      <c r="AU60" s="19">
        <v>223500</v>
      </c>
      <c r="AV60" s="19"/>
      <c r="AW60" s="19">
        <v>142350</v>
      </c>
      <c r="AX60" s="19"/>
      <c r="AY60" s="19"/>
      <c r="AZ60" s="17"/>
      <c r="BA60" s="17"/>
      <c r="BB60" s="17"/>
      <c r="BC60" s="17"/>
      <c r="BD60" s="17"/>
    </row>
    <row r="61" spans="1:56" x14ac:dyDescent="0.25">
      <c r="A61" s="35" t="s">
        <v>285</v>
      </c>
      <c r="B61" s="19"/>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20"/>
      <c r="AF61" s="19"/>
      <c r="AG61" s="19"/>
      <c r="AH61" s="19"/>
      <c r="AI61" s="19"/>
      <c r="AJ61" s="19"/>
      <c r="AK61" s="19"/>
      <c r="AL61" s="19"/>
      <c r="AM61" s="19"/>
      <c r="AN61" s="20"/>
      <c r="AO61" s="19"/>
      <c r="AP61" s="20"/>
      <c r="AQ61" s="20"/>
      <c r="AR61" s="20"/>
      <c r="AS61" s="20"/>
      <c r="AT61" s="19"/>
      <c r="AU61" s="19"/>
      <c r="AV61" s="19"/>
      <c r="AW61" s="19"/>
      <c r="AX61" s="19"/>
      <c r="AY61" s="19"/>
      <c r="AZ61" s="17"/>
      <c r="BA61" s="17">
        <v>24000</v>
      </c>
      <c r="BB61" s="17"/>
      <c r="BC61" s="17">
        <v>40000</v>
      </c>
      <c r="BD61" s="17">
        <v>40000</v>
      </c>
    </row>
    <row r="62" spans="1:56" x14ac:dyDescent="0.25">
      <c r="A62" s="83" t="s">
        <v>917</v>
      </c>
      <c r="B62" s="19"/>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20"/>
      <c r="AF62" s="19"/>
      <c r="AG62" s="19"/>
      <c r="AH62" s="19"/>
      <c r="AI62" s="19"/>
      <c r="AJ62" s="19"/>
      <c r="AK62" s="19"/>
      <c r="AL62" s="19"/>
      <c r="AM62" s="19"/>
      <c r="AN62" s="20"/>
      <c r="AO62" s="19"/>
      <c r="AP62" s="20"/>
      <c r="AQ62" s="20"/>
      <c r="AR62" s="20"/>
      <c r="AS62" s="20"/>
      <c r="AT62" s="19"/>
      <c r="AU62" s="19">
        <v>39000</v>
      </c>
      <c r="AV62" s="19"/>
      <c r="AW62" s="19"/>
      <c r="AX62" s="19"/>
      <c r="AY62" s="19"/>
      <c r="AZ62" s="17"/>
      <c r="BA62" s="17"/>
      <c r="BB62" s="17"/>
      <c r="BC62" s="17">
        <v>198500</v>
      </c>
      <c r="BD62" s="17">
        <v>200000</v>
      </c>
    </row>
    <row r="63" spans="1:56" x14ac:dyDescent="0.25">
      <c r="A63" s="83" t="s">
        <v>79</v>
      </c>
      <c r="B63" s="19"/>
      <c r="C63" s="19"/>
      <c r="D63" s="19"/>
      <c r="E63" s="19"/>
      <c r="F63" s="19"/>
      <c r="G63" s="19"/>
      <c r="H63" s="19"/>
      <c r="I63" s="19"/>
      <c r="J63" s="19"/>
      <c r="K63" s="19"/>
      <c r="L63" s="19"/>
      <c r="M63" s="19"/>
      <c r="N63" s="19"/>
      <c r="O63" s="19"/>
      <c r="P63" s="19"/>
      <c r="Q63" s="19"/>
      <c r="R63" s="19"/>
      <c r="S63" s="19"/>
      <c r="T63" s="19"/>
      <c r="U63" s="19"/>
      <c r="V63" s="19"/>
      <c r="W63" s="19"/>
      <c r="X63" s="19"/>
      <c r="Y63" s="19"/>
      <c r="Z63" s="19"/>
      <c r="AA63" s="19">
        <v>20000</v>
      </c>
      <c r="AB63" s="19"/>
      <c r="AC63" s="19"/>
      <c r="AD63" s="19"/>
      <c r="AE63" s="20"/>
      <c r="AF63" s="19">
        <v>20000</v>
      </c>
      <c r="AG63" s="19">
        <v>60000</v>
      </c>
      <c r="AH63" s="19">
        <v>70000</v>
      </c>
      <c r="AI63" s="19">
        <v>70000</v>
      </c>
      <c r="AJ63" s="19"/>
      <c r="AK63" s="19">
        <v>60000</v>
      </c>
      <c r="AL63" s="19">
        <v>80000</v>
      </c>
      <c r="AM63" s="19">
        <v>140000</v>
      </c>
      <c r="AN63" s="20"/>
      <c r="AO63" s="19">
        <v>80000</v>
      </c>
      <c r="AP63" s="20"/>
      <c r="AQ63" s="20"/>
      <c r="AR63" s="20"/>
      <c r="AS63" s="20"/>
      <c r="AT63" s="19">
        <v>120000</v>
      </c>
      <c r="AU63" s="19"/>
      <c r="AV63" s="19"/>
      <c r="AW63" s="19"/>
      <c r="AX63" s="19"/>
      <c r="AY63" s="19">
        <v>100000</v>
      </c>
      <c r="AZ63" s="17"/>
      <c r="BA63" s="17"/>
      <c r="BB63" s="17"/>
      <c r="BC63" s="17"/>
      <c r="BD63" s="17"/>
    </row>
    <row r="64" spans="1:56" x14ac:dyDescent="0.25">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20"/>
      <c r="AF64" s="19"/>
      <c r="AG64" s="19"/>
      <c r="AH64" s="19"/>
      <c r="AI64" s="19"/>
      <c r="AJ64" s="19"/>
      <c r="AK64" s="19"/>
      <c r="AL64" s="19"/>
      <c r="AM64" s="19"/>
      <c r="AN64" s="20"/>
      <c r="AO64" s="19"/>
      <c r="AP64" s="20"/>
      <c r="AQ64" s="20"/>
      <c r="AR64" s="20"/>
      <c r="AS64" s="20"/>
      <c r="AT64" s="19"/>
      <c r="AU64" s="19"/>
      <c r="AV64" s="19"/>
      <c r="AW64" s="19"/>
      <c r="AX64" s="19"/>
      <c r="AY64" s="19"/>
      <c r="AZ64" s="17"/>
      <c r="BA64" s="17"/>
      <c r="BB64" s="17"/>
      <c r="BC64" s="17"/>
      <c r="BD64" s="17"/>
    </row>
    <row r="65" spans="1:56" x14ac:dyDescent="0.25">
      <c r="A65" s="83" t="s">
        <v>292</v>
      </c>
      <c r="B65" s="19">
        <v>32000</v>
      </c>
      <c r="C65" s="19">
        <v>16000</v>
      </c>
      <c r="D65" s="19"/>
      <c r="E65" s="19"/>
      <c r="F65" s="19"/>
      <c r="G65" s="19">
        <v>24000</v>
      </c>
      <c r="H65" s="19">
        <f>8000+8000</f>
        <v>16000</v>
      </c>
      <c r="I65" s="19"/>
      <c r="J65" s="19"/>
      <c r="K65" s="19"/>
      <c r="L65" s="19"/>
      <c r="M65" s="19"/>
      <c r="N65" s="19"/>
      <c r="O65" s="19"/>
      <c r="P65" s="19">
        <v>6000</v>
      </c>
      <c r="Q65" s="19"/>
      <c r="R65" s="19"/>
      <c r="S65" s="19">
        <v>40000</v>
      </c>
      <c r="T65" s="19"/>
      <c r="U65" s="19">
        <v>18000</v>
      </c>
      <c r="V65" s="19"/>
      <c r="W65" s="19">
        <v>71800</v>
      </c>
      <c r="X65" s="19"/>
      <c r="Y65" s="19"/>
      <c r="Z65" s="19">
        <v>430000</v>
      </c>
      <c r="AA65" s="19">
        <v>224000</v>
      </c>
      <c r="AB65" s="19">
        <v>330000</v>
      </c>
      <c r="AC65" s="19">
        <v>70000</v>
      </c>
      <c r="AD65" s="19">
        <v>70000</v>
      </c>
      <c r="AE65" s="20"/>
      <c r="AF65" s="19">
        <v>49000</v>
      </c>
      <c r="AG65" s="19"/>
      <c r="AH65" s="19"/>
      <c r="AI65" s="19"/>
      <c r="AJ65" s="19"/>
      <c r="AK65" s="19"/>
      <c r="AL65" s="19"/>
      <c r="AM65" s="19"/>
      <c r="AN65" s="20"/>
      <c r="AO65" s="19"/>
      <c r="AP65" s="20"/>
      <c r="AQ65" s="20"/>
      <c r="AR65" s="20"/>
      <c r="AS65" s="20"/>
      <c r="AT65" s="19">
        <v>726500</v>
      </c>
      <c r="AU65" s="19">
        <v>30000</v>
      </c>
      <c r="AV65" s="19"/>
      <c r="AW65" s="19">
        <v>146000</v>
      </c>
      <c r="AX65" s="19"/>
      <c r="AY65" s="19">
        <v>327000</v>
      </c>
      <c r="AZ65" s="17">
        <v>40000</v>
      </c>
      <c r="BA65" s="17">
        <v>333000</v>
      </c>
      <c r="BB65" s="17"/>
      <c r="BC65" s="17">
        <v>397820</v>
      </c>
      <c r="BD65" s="17">
        <v>200000</v>
      </c>
    </row>
    <row r="66" spans="1:56" x14ac:dyDescent="0.25">
      <c r="A66" s="83" t="s">
        <v>923</v>
      </c>
      <c r="B66" s="19"/>
      <c r="C66" s="19">
        <v>100000</v>
      </c>
      <c r="D66" s="19"/>
      <c r="E66" s="19"/>
      <c r="F66" s="19"/>
      <c r="G66" s="19"/>
      <c r="H66" s="19">
        <f>15000+18000</f>
        <v>33000</v>
      </c>
      <c r="I66" s="19"/>
      <c r="J66" s="19"/>
      <c r="K66" s="19"/>
      <c r="L66" s="19">
        <f>16000+50000</f>
        <v>66000</v>
      </c>
      <c r="M66" s="19"/>
      <c r="N66" s="19"/>
      <c r="O66" s="19"/>
      <c r="P66" s="19"/>
      <c r="Q66" s="19"/>
      <c r="R66" s="19"/>
      <c r="S66" s="19"/>
      <c r="T66" s="19"/>
      <c r="U66" s="19"/>
      <c r="V66" s="19"/>
      <c r="W66" s="19"/>
      <c r="X66" s="19">
        <v>300100</v>
      </c>
      <c r="Y66" s="19"/>
      <c r="Z66" s="19"/>
      <c r="AA66" s="19"/>
      <c r="AB66" s="19"/>
      <c r="AC66" s="19"/>
      <c r="AD66" s="19"/>
      <c r="AE66" s="20"/>
      <c r="AF66" s="19"/>
      <c r="AG66" s="19">
        <v>125000</v>
      </c>
      <c r="AH66" s="19">
        <v>116000</v>
      </c>
      <c r="AI66" s="19">
        <v>242000</v>
      </c>
      <c r="AJ66" s="19"/>
      <c r="AK66" s="19">
        <v>74000</v>
      </c>
      <c r="AL66" s="19">
        <v>640000</v>
      </c>
      <c r="AM66" s="19">
        <v>115800</v>
      </c>
      <c r="AN66" s="20"/>
      <c r="AO66" s="19">
        <v>40000</v>
      </c>
      <c r="AP66" s="20"/>
      <c r="AQ66" s="20"/>
      <c r="AR66" s="20"/>
      <c r="AS66" s="20"/>
      <c r="AT66" s="19"/>
      <c r="AU66" s="19"/>
      <c r="AV66" s="19"/>
      <c r="AW66" s="19"/>
      <c r="AX66" s="19"/>
      <c r="AY66" s="19"/>
      <c r="AZ66" s="17"/>
      <c r="BA66" s="17"/>
      <c r="BB66" s="17"/>
      <c r="BC66" s="17"/>
      <c r="BD66" s="17"/>
    </row>
    <row r="67" spans="1:56" x14ac:dyDescent="0.25">
      <c r="A67" s="83" t="s">
        <v>924</v>
      </c>
      <c r="B67" s="19"/>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20"/>
      <c r="AF67" s="19"/>
      <c r="AG67" s="19"/>
      <c r="AH67" s="19"/>
      <c r="AI67" s="19"/>
      <c r="AJ67" s="19"/>
      <c r="AK67" s="19"/>
      <c r="AL67" s="19"/>
      <c r="AM67" s="19"/>
      <c r="AN67" s="20"/>
      <c r="AO67" s="19">
        <v>120000</v>
      </c>
      <c r="AP67" s="20"/>
      <c r="AQ67" s="20"/>
      <c r="AR67" s="20"/>
      <c r="AS67" s="20"/>
      <c r="AT67" s="19"/>
      <c r="AU67" s="19"/>
      <c r="AV67" s="19"/>
      <c r="AW67" s="19"/>
      <c r="AX67" s="19"/>
      <c r="AY67" s="19"/>
      <c r="AZ67" s="17"/>
      <c r="BA67" s="17"/>
      <c r="BB67" s="17"/>
      <c r="BC67" s="17"/>
      <c r="BD67" s="17"/>
    </row>
    <row r="68" spans="1:56" x14ac:dyDescent="0.25">
      <c r="A68" s="83" t="s">
        <v>925</v>
      </c>
      <c r="B68" s="19"/>
      <c r="C68" s="19"/>
      <c r="D68" s="19"/>
      <c r="E68" s="19"/>
      <c r="F68" s="19"/>
      <c r="G68" s="19"/>
      <c r="H68" s="19"/>
      <c r="I68" s="19"/>
      <c r="J68" s="19"/>
      <c r="K68" s="19">
        <v>50000</v>
      </c>
      <c r="L68" s="19">
        <v>120000</v>
      </c>
      <c r="M68" s="19">
        <v>32000</v>
      </c>
      <c r="N68" s="19">
        <v>30000</v>
      </c>
      <c r="O68" s="19"/>
      <c r="P68" s="19"/>
      <c r="Q68" s="19">
        <v>100000</v>
      </c>
      <c r="R68" s="18">
        <f>(Q68/15)*12</f>
        <v>80000</v>
      </c>
      <c r="S68" s="19">
        <v>40000</v>
      </c>
      <c r="T68" s="19"/>
      <c r="U68" s="19"/>
      <c r="V68" s="19"/>
      <c r="W68" s="19"/>
      <c r="X68" s="19"/>
      <c r="Y68" s="19"/>
      <c r="Z68" s="19"/>
      <c r="AA68" s="19"/>
      <c r="AB68" s="19">
        <v>197000</v>
      </c>
      <c r="AC68" s="19"/>
      <c r="AD68" s="19"/>
      <c r="AE68" s="20"/>
      <c r="AF68" s="19"/>
      <c r="AG68" s="19"/>
      <c r="AH68" s="19"/>
      <c r="AI68" s="19"/>
      <c r="AJ68" s="19"/>
      <c r="AK68" s="19"/>
      <c r="AL68" s="19"/>
      <c r="AM68" s="19"/>
      <c r="AN68" s="20"/>
      <c r="AO68" s="19"/>
      <c r="AP68" s="20"/>
      <c r="AQ68" s="20"/>
      <c r="AR68" s="20"/>
      <c r="AS68" s="20"/>
      <c r="AT68" s="19"/>
      <c r="AU68" s="19"/>
      <c r="AV68" s="19"/>
      <c r="AW68" s="19"/>
      <c r="AX68" s="19"/>
      <c r="AY68" s="19"/>
      <c r="AZ68" s="17"/>
      <c r="BA68" s="17"/>
      <c r="BB68" s="17"/>
      <c r="BC68" s="17"/>
      <c r="BD68" s="17"/>
    </row>
    <row r="69" spans="1:56" x14ac:dyDescent="0.25">
      <c r="A69" s="83" t="s">
        <v>926</v>
      </c>
      <c r="B69" s="19"/>
      <c r="C69" s="19"/>
      <c r="D69" s="19"/>
      <c r="E69" s="19"/>
      <c r="F69" s="19"/>
      <c r="G69" s="19"/>
      <c r="H69" s="19">
        <v>128000</v>
      </c>
      <c r="I69" s="19">
        <f>13600+182000</f>
        <v>195600</v>
      </c>
      <c r="J69" s="19"/>
      <c r="K69" s="19"/>
      <c r="L69" s="19"/>
      <c r="M69" s="19"/>
      <c r="N69" s="19"/>
      <c r="O69" s="19"/>
      <c r="P69" s="19"/>
      <c r="Q69" s="19"/>
      <c r="R69" s="19"/>
      <c r="S69" s="19"/>
      <c r="T69" s="19"/>
      <c r="U69" s="19"/>
      <c r="V69" s="19"/>
      <c r="W69" s="19"/>
      <c r="X69" s="19"/>
      <c r="Y69" s="19"/>
      <c r="Z69" s="19"/>
      <c r="AA69" s="19"/>
      <c r="AB69" s="19"/>
      <c r="AC69" s="19"/>
      <c r="AD69" s="19"/>
      <c r="AE69" s="20"/>
      <c r="AF69" s="19"/>
      <c r="AG69" s="19"/>
      <c r="AH69" s="19"/>
      <c r="AI69" s="19"/>
      <c r="AJ69" s="19"/>
      <c r="AK69" s="19"/>
      <c r="AL69" s="19"/>
      <c r="AM69" s="19"/>
      <c r="AN69" s="20"/>
      <c r="AO69" s="19"/>
      <c r="AP69" s="20"/>
      <c r="AQ69" s="20"/>
      <c r="AR69" s="20"/>
      <c r="AS69" s="20"/>
      <c r="AT69" s="19"/>
      <c r="AU69" s="19"/>
      <c r="AV69" s="19"/>
      <c r="AW69" s="19"/>
      <c r="AX69" s="19"/>
      <c r="AY69" s="19"/>
      <c r="AZ69" s="17"/>
      <c r="BA69" s="17"/>
      <c r="BB69" s="17"/>
      <c r="BC69" s="17"/>
      <c r="BD69" s="17"/>
    </row>
    <row r="70" spans="1:56" x14ac:dyDescent="0.25">
      <c r="A70" s="83" t="s">
        <v>927</v>
      </c>
      <c r="B70" s="19">
        <v>40000</v>
      </c>
      <c r="C70" s="19"/>
      <c r="D70" s="19"/>
      <c r="E70" s="19">
        <v>20000</v>
      </c>
      <c r="F70" s="19"/>
      <c r="G70" s="19">
        <v>150000</v>
      </c>
      <c r="H70" s="19">
        <f>280000+40000</f>
        <v>320000</v>
      </c>
      <c r="I70" s="19">
        <f>486000+40000</f>
        <v>526000</v>
      </c>
      <c r="J70" s="19"/>
      <c r="K70" s="19"/>
      <c r="L70" s="19"/>
      <c r="M70" s="19"/>
      <c r="N70" s="19"/>
      <c r="O70" s="19"/>
      <c r="P70" s="19"/>
      <c r="Q70" s="19"/>
      <c r="R70" s="19"/>
      <c r="S70" s="19"/>
      <c r="T70" s="19"/>
      <c r="U70" s="19"/>
      <c r="V70" s="19"/>
      <c r="W70" s="19"/>
      <c r="X70" s="19"/>
      <c r="Y70" s="19"/>
      <c r="Z70" s="19"/>
      <c r="AA70" s="19"/>
      <c r="AB70" s="19"/>
      <c r="AC70" s="19"/>
      <c r="AD70" s="19"/>
      <c r="AE70" s="20"/>
      <c r="AF70" s="19"/>
      <c r="AG70" s="19"/>
      <c r="AH70" s="19"/>
      <c r="AI70" s="19"/>
      <c r="AJ70" s="19"/>
      <c r="AK70" s="19"/>
      <c r="AL70" s="19"/>
      <c r="AM70" s="19"/>
      <c r="AN70" s="20"/>
      <c r="AO70" s="19"/>
      <c r="AP70" s="20"/>
      <c r="AQ70" s="20"/>
      <c r="AR70" s="20"/>
      <c r="AS70" s="20"/>
      <c r="AT70" s="19"/>
      <c r="AU70" s="19"/>
      <c r="AV70" s="19"/>
      <c r="AW70" s="19"/>
      <c r="AX70" s="19"/>
      <c r="AY70" s="19"/>
      <c r="AZ70" s="17"/>
      <c r="BA70" s="17"/>
      <c r="BB70" s="17"/>
      <c r="BC70" s="17"/>
      <c r="BD70" s="17"/>
    </row>
    <row r="71" spans="1:56" x14ac:dyDescent="0.25">
      <c r="A71" s="83" t="s">
        <v>928</v>
      </c>
      <c r="B71" s="19">
        <v>2000</v>
      </c>
      <c r="C71" s="19">
        <v>8000</v>
      </c>
      <c r="D71" s="19">
        <v>10000</v>
      </c>
      <c r="E71" s="19">
        <v>12000</v>
      </c>
      <c r="F71" s="19">
        <f>4000</f>
        <v>4000</v>
      </c>
      <c r="G71" s="19">
        <v>10000</v>
      </c>
      <c r="H71" s="19">
        <v>16000</v>
      </c>
      <c r="I71" s="19">
        <v>18000</v>
      </c>
      <c r="J71" s="19"/>
      <c r="K71" s="19">
        <v>28000</v>
      </c>
      <c r="L71" s="19">
        <v>24000</v>
      </c>
      <c r="M71" s="19">
        <v>14000</v>
      </c>
      <c r="N71" s="19">
        <v>12000</v>
      </c>
      <c r="O71" s="19"/>
      <c r="P71" s="19">
        <v>6000</v>
      </c>
      <c r="Q71" s="19">
        <v>70000</v>
      </c>
      <c r="R71" s="18">
        <f>(Q71/15)*12</f>
        <v>56000</v>
      </c>
      <c r="S71" s="19">
        <v>72000</v>
      </c>
      <c r="T71" s="19"/>
      <c r="U71" s="19">
        <v>44000</v>
      </c>
      <c r="V71" s="19"/>
      <c r="W71" s="19">
        <v>8000</v>
      </c>
      <c r="X71" s="19"/>
      <c r="Y71" s="19"/>
      <c r="Z71" s="19">
        <v>50000</v>
      </c>
      <c r="AA71" s="19"/>
      <c r="AB71" s="19">
        <v>2000</v>
      </c>
      <c r="AC71" s="19"/>
      <c r="AD71" s="19"/>
      <c r="AE71" s="20"/>
      <c r="AF71" s="19"/>
      <c r="AG71" s="19"/>
      <c r="AH71" s="19"/>
      <c r="AI71" s="19"/>
      <c r="AJ71" s="19"/>
      <c r="AK71" s="19"/>
      <c r="AL71" s="19"/>
      <c r="AM71" s="19"/>
      <c r="AN71" s="20"/>
      <c r="AO71" s="19"/>
      <c r="AP71" s="20"/>
      <c r="AQ71" s="20"/>
      <c r="AR71" s="20"/>
      <c r="AS71" s="20"/>
      <c r="AT71" s="19"/>
      <c r="AU71" s="19"/>
      <c r="AV71" s="19"/>
      <c r="AW71" s="19"/>
      <c r="AX71" s="19"/>
      <c r="AY71" s="19"/>
      <c r="AZ71" s="17"/>
      <c r="BA71" s="17"/>
      <c r="BB71" s="17"/>
      <c r="BC71" s="17"/>
      <c r="BD71" s="17"/>
    </row>
    <row r="72" spans="1:56" x14ac:dyDescent="0.25">
      <c r="A72" s="83" t="s">
        <v>929</v>
      </c>
      <c r="B72" s="19"/>
      <c r="C72" s="19"/>
      <c r="D72" s="19"/>
      <c r="E72" s="19"/>
      <c r="F72" s="19"/>
      <c r="G72" s="19"/>
      <c r="H72" s="19"/>
      <c r="I72" s="19"/>
      <c r="J72" s="19"/>
      <c r="K72" s="19"/>
      <c r="L72" s="19"/>
      <c r="M72" s="19"/>
      <c r="N72" s="19"/>
      <c r="O72" s="19"/>
      <c r="P72" s="19"/>
      <c r="Q72" s="19"/>
      <c r="R72" s="19"/>
      <c r="S72" s="19"/>
      <c r="T72" s="19"/>
      <c r="U72" s="19"/>
      <c r="V72" s="19"/>
      <c r="W72" s="19"/>
      <c r="X72" s="19"/>
      <c r="Y72" s="19"/>
      <c r="Z72" s="19">
        <v>7500</v>
      </c>
      <c r="AA72" s="19"/>
      <c r="AB72" s="19"/>
      <c r="AC72" s="19"/>
      <c r="AD72" s="19"/>
      <c r="AE72" s="20"/>
      <c r="AF72" s="19"/>
      <c r="AG72" s="19"/>
      <c r="AH72" s="19"/>
      <c r="AI72" s="19"/>
      <c r="AJ72" s="19"/>
      <c r="AK72" s="19"/>
      <c r="AL72" s="19"/>
      <c r="AM72" s="19"/>
      <c r="AN72" s="20"/>
      <c r="AO72" s="19"/>
      <c r="AP72" s="20"/>
      <c r="AQ72" s="20"/>
      <c r="AR72" s="20"/>
      <c r="AS72" s="20"/>
      <c r="AT72" s="19"/>
      <c r="AU72" s="19"/>
      <c r="AV72" s="19"/>
      <c r="AW72" s="19"/>
      <c r="AX72" s="19"/>
      <c r="AY72" s="19"/>
      <c r="AZ72" s="17"/>
      <c r="BA72" s="17"/>
      <c r="BB72" s="17"/>
      <c r="BC72" s="17"/>
      <c r="BD72" s="17"/>
    </row>
    <row r="73" spans="1:56" x14ac:dyDescent="0.25">
      <c r="B73" s="19"/>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20"/>
      <c r="AF73" s="19"/>
      <c r="AG73" s="19"/>
      <c r="AH73" s="19"/>
      <c r="AI73" s="19"/>
      <c r="AJ73" s="19"/>
      <c r="AK73" s="19"/>
      <c r="AL73" s="19"/>
      <c r="AM73" s="19"/>
      <c r="AN73" s="20"/>
      <c r="AO73" s="19"/>
      <c r="AP73" s="20"/>
      <c r="AQ73" s="20"/>
      <c r="AR73" s="20"/>
      <c r="AS73" s="20"/>
      <c r="AT73" s="19"/>
      <c r="AU73" s="19"/>
      <c r="AV73" s="19"/>
      <c r="AW73" s="19"/>
      <c r="AX73" s="19"/>
      <c r="AY73" s="19"/>
      <c r="AZ73" s="17"/>
      <c r="BA73" s="17"/>
      <c r="BB73" s="17"/>
      <c r="BC73" s="17"/>
      <c r="BD73" s="17"/>
    </row>
    <row r="74" spans="1:56" x14ac:dyDescent="0.25">
      <c r="A74" s="157" t="s">
        <v>1089</v>
      </c>
      <c r="B74" s="19"/>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20"/>
      <c r="AF74" s="19"/>
      <c r="AG74" s="19"/>
      <c r="AH74" s="19"/>
      <c r="AI74" s="19"/>
      <c r="AJ74" s="19"/>
      <c r="AK74" s="19"/>
      <c r="AL74" s="19"/>
      <c r="AM74" s="19"/>
      <c r="AN74" s="20"/>
      <c r="AO74" s="19"/>
      <c r="AP74" s="20"/>
      <c r="AQ74" s="20"/>
      <c r="AR74" s="20"/>
      <c r="AS74" s="20"/>
      <c r="AT74" s="19">
        <v>117000</v>
      </c>
      <c r="AU74" s="19"/>
      <c r="AV74" s="19"/>
      <c r="AW74" s="19"/>
      <c r="AX74" s="19"/>
      <c r="AY74" s="19"/>
      <c r="AZ74" s="17"/>
      <c r="BA74" s="17"/>
      <c r="BB74" s="17"/>
      <c r="BC74" s="17"/>
      <c r="BD74" s="17"/>
    </row>
    <row r="75" spans="1:56" x14ac:dyDescent="0.25">
      <c r="A75" s="157" t="s">
        <v>1090</v>
      </c>
      <c r="B75" s="19"/>
      <c r="C75" s="19"/>
      <c r="D75" s="19"/>
      <c r="E75" s="19"/>
      <c r="F75" s="19"/>
      <c r="G75" s="19"/>
      <c r="H75" s="19"/>
      <c r="I75" s="19"/>
      <c r="J75" s="19"/>
      <c r="K75" s="19"/>
      <c r="L75" s="19"/>
      <c r="M75" s="19"/>
      <c r="N75" s="19">
        <v>600</v>
      </c>
      <c r="O75" s="19"/>
      <c r="P75" s="19"/>
      <c r="Q75" s="19"/>
      <c r="R75" s="19"/>
      <c r="S75" s="19"/>
      <c r="T75" s="19"/>
      <c r="U75" s="19"/>
      <c r="V75" s="19"/>
      <c r="W75" s="19"/>
      <c r="X75" s="19"/>
      <c r="Y75" s="19"/>
      <c r="Z75" s="19"/>
      <c r="AA75" s="19"/>
      <c r="AB75" s="19"/>
      <c r="AC75" s="19"/>
      <c r="AD75" s="19"/>
      <c r="AE75" s="20"/>
      <c r="AF75" s="19"/>
      <c r="AG75" s="19"/>
      <c r="AH75" s="19"/>
      <c r="AI75" s="19"/>
      <c r="AJ75" s="19"/>
      <c r="AK75" s="19"/>
      <c r="AL75" s="19"/>
      <c r="AM75" s="19"/>
      <c r="AN75" s="20"/>
      <c r="AO75" s="19"/>
      <c r="AP75" s="20"/>
      <c r="AQ75" s="20"/>
      <c r="AR75" s="20"/>
      <c r="AS75" s="20"/>
      <c r="AT75" s="19"/>
      <c r="AU75" s="19"/>
      <c r="AV75" s="19"/>
      <c r="AW75" s="19"/>
      <c r="AX75" s="19"/>
      <c r="AY75" s="19"/>
      <c r="AZ75" s="17"/>
      <c r="BA75" s="17">
        <v>121800</v>
      </c>
      <c r="BB75" s="17"/>
      <c r="BC75" s="17"/>
      <c r="BD75" s="17"/>
    </row>
    <row r="76" spans="1:56" x14ac:dyDescent="0.25">
      <c r="A76" s="34" t="s">
        <v>990</v>
      </c>
      <c r="B76" s="19"/>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20"/>
      <c r="AF76" s="19"/>
      <c r="AG76" s="19"/>
      <c r="AH76" s="19"/>
      <c r="AI76" s="19"/>
      <c r="AJ76" s="19"/>
      <c r="AK76" s="19"/>
      <c r="AL76" s="19"/>
      <c r="AM76" s="19"/>
      <c r="AN76" s="20"/>
      <c r="AO76" s="19"/>
      <c r="AP76" s="20"/>
      <c r="AQ76" s="20"/>
      <c r="AR76" s="20"/>
      <c r="AS76" s="20"/>
      <c r="AT76" s="19">
        <v>259000</v>
      </c>
      <c r="AU76" s="19">
        <v>353000</v>
      </c>
      <c r="AV76" s="19"/>
      <c r="AW76" s="19">
        <v>223000</v>
      </c>
      <c r="AX76" s="19"/>
      <c r="AY76" s="19">
        <v>325000</v>
      </c>
      <c r="AZ76" s="17">
        <v>308000</v>
      </c>
      <c r="BA76" s="17">
        <v>356000</v>
      </c>
      <c r="BB76" s="17"/>
      <c r="BC76" s="17">
        <v>390000</v>
      </c>
      <c r="BD76" s="17">
        <v>300000</v>
      </c>
    </row>
    <row r="77" spans="1:56" x14ac:dyDescent="0.25">
      <c r="B77" s="19"/>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20"/>
      <c r="AF77" s="19"/>
      <c r="AG77" s="19"/>
      <c r="AH77" s="19"/>
      <c r="AI77" s="19"/>
      <c r="AJ77" s="19"/>
      <c r="AK77" s="19"/>
      <c r="AL77" s="19"/>
      <c r="AM77" s="19"/>
      <c r="AN77" s="20"/>
      <c r="AO77" s="19"/>
      <c r="AP77" s="20"/>
      <c r="AQ77" s="20"/>
      <c r="AR77" s="20"/>
      <c r="AS77" s="20"/>
      <c r="AT77" s="19"/>
      <c r="AU77" s="19"/>
      <c r="AV77" s="19"/>
      <c r="AW77" s="19"/>
      <c r="AX77" s="19"/>
      <c r="AY77" s="19"/>
      <c r="AZ77" s="17"/>
      <c r="BA77" s="17"/>
      <c r="BB77" s="17"/>
      <c r="BC77" s="17"/>
      <c r="BD77" s="17"/>
    </row>
    <row r="78" spans="1:56" x14ac:dyDescent="0.25">
      <c r="A78" s="83" t="s">
        <v>933</v>
      </c>
      <c r="B78" s="19"/>
      <c r="C78" s="19"/>
      <c r="D78" s="19"/>
      <c r="E78" s="19"/>
      <c r="F78" s="19"/>
      <c r="G78" s="19"/>
      <c r="H78" s="19"/>
      <c r="I78" s="19"/>
      <c r="J78" s="19"/>
      <c r="K78" s="19"/>
      <c r="L78" s="19"/>
      <c r="M78" s="19"/>
      <c r="N78" s="19"/>
      <c r="O78" s="19"/>
      <c r="P78" s="19"/>
      <c r="Q78" s="19"/>
      <c r="R78" s="19"/>
      <c r="S78" s="19"/>
      <c r="T78" s="19"/>
      <c r="U78" s="19"/>
      <c r="V78" s="19"/>
      <c r="W78" s="19"/>
      <c r="X78" s="19"/>
      <c r="Y78" s="19"/>
      <c r="Z78" s="19">
        <v>17500</v>
      </c>
      <c r="AA78" s="19">
        <v>250000</v>
      </c>
      <c r="AB78" s="19"/>
      <c r="AC78" s="19"/>
      <c r="AD78" s="19"/>
      <c r="AE78" s="20"/>
      <c r="AF78" s="19"/>
      <c r="AG78" s="19"/>
      <c r="AH78" s="19"/>
      <c r="AI78" s="19"/>
      <c r="AJ78" s="19"/>
      <c r="AK78" s="19"/>
      <c r="AL78" s="19"/>
      <c r="AM78" s="19"/>
      <c r="AN78" s="20"/>
      <c r="AO78" s="19"/>
      <c r="AP78" s="20"/>
      <c r="AQ78" s="20"/>
      <c r="AR78" s="20"/>
      <c r="AS78" s="20"/>
      <c r="AT78" s="19"/>
      <c r="AU78" s="19"/>
      <c r="AV78" s="19"/>
      <c r="AW78" s="19"/>
      <c r="AX78" s="19"/>
      <c r="AY78" s="19"/>
      <c r="AZ78" s="17"/>
      <c r="BA78" s="17"/>
      <c r="BB78" s="17"/>
      <c r="BC78" s="17"/>
      <c r="BD78" s="17"/>
    </row>
    <row r="79" spans="1:56" x14ac:dyDescent="0.25">
      <c r="A79" s="83" t="s">
        <v>1038</v>
      </c>
      <c r="B79" s="19"/>
      <c r="C79" s="19"/>
      <c r="D79" s="19"/>
      <c r="E79" s="19">
        <v>50000</v>
      </c>
      <c r="F79" s="19"/>
      <c r="G79" s="19">
        <v>200000</v>
      </c>
      <c r="H79" s="19">
        <v>365000</v>
      </c>
      <c r="I79" s="19"/>
      <c r="J79" s="19"/>
      <c r="K79" s="19">
        <v>165000</v>
      </c>
      <c r="L79" s="19"/>
      <c r="M79" s="19"/>
      <c r="N79" s="19"/>
      <c r="O79" s="19"/>
      <c r="P79" s="19"/>
      <c r="Q79" s="19"/>
      <c r="R79" s="19"/>
      <c r="S79" s="19"/>
      <c r="T79" s="19"/>
      <c r="U79" s="19"/>
      <c r="V79" s="19"/>
      <c r="W79" s="19"/>
      <c r="X79" s="19"/>
      <c r="Y79" s="19"/>
      <c r="Z79" s="19"/>
      <c r="AA79" s="19"/>
      <c r="AB79" s="19"/>
      <c r="AC79" s="19"/>
      <c r="AD79" s="19"/>
      <c r="AE79" s="20"/>
      <c r="AF79" s="19"/>
      <c r="AG79" s="19"/>
      <c r="AH79" s="19"/>
      <c r="AI79" s="19"/>
      <c r="AJ79" s="19"/>
      <c r="AK79" s="19"/>
      <c r="AL79" s="19"/>
      <c r="AM79" s="19"/>
      <c r="AN79" s="20"/>
      <c r="AO79" s="19"/>
      <c r="AP79" s="20"/>
      <c r="AQ79" s="20"/>
      <c r="AR79" s="20"/>
      <c r="AS79" s="20"/>
      <c r="AT79" s="19"/>
      <c r="AU79" s="19"/>
      <c r="AV79" s="19"/>
      <c r="AW79" s="19"/>
      <c r="AX79" s="19"/>
      <c r="AY79" s="19"/>
      <c r="AZ79" s="17"/>
      <c r="BA79" s="17"/>
      <c r="BB79" s="17"/>
      <c r="BC79" s="17"/>
      <c r="BD79" s="17"/>
    </row>
    <row r="80" spans="1:56" x14ac:dyDescent="0.25">
      <c r="A80" s="83" t="s">
        <v>934</v>
      </c>
      <c r="B80" s="19"/>
      <c r="C80" s="19"/>
      <c r="D80" s="19"/>
      <c r="E80" s="19"/>
      <c r="F80" s="19"/>
      <c r="G80" s="19"/>
      <c r="H80" s="19"/>
      <c r="I80" s="19"/>
      <c r="J80" s="19"/>
      <c r="K80" s="19"/>
      <c r="L80" s="19">
        <v>16130</v>
      </c>
      <c r="M80" s="19">
        <v>84760</v>
      </c>
      <c r="N80" s="19">
        <v>29280</v>
      </c>
      <c r="O80" s="19"/>
      <c r="P80" s="19"/>
      <c r="Q80" s="19"/>
      <c r="R80" s="19"/>
      <c r="S80" s="19"/>
      <c r="T80" s="19"/>
      <c r="U80" s="19"/>
      <c r="V80" s="19"/>
      <c r="W80" s="19"/>
      <c r="X80" s="19"/>
      <c r="Y80" s="19"/>
      <c r="Z80" s="19">
        <v>219240</v>
      </c>
      <c r="AA80" s="19">
        <v>328717</v>
      </c>
      <c r="AB80" s="19">
        <v>290640</v>
      </c>
      <c r="AC80" s="19">
        <v>260340</v>
      </c>
      <c r="AD80" s="19">
        <v>209247</v>
      </c>
      <c r="AE80" s="20"/>
      <c r="AF80" s="19">
        <v>95940</v>
      </c>
      <c r="AG80" s="19">
        <v>283360</v>
      </c>
      <c r="AH80" s="19"/>
      <c r="AI80" s="19"/>
      <c r="AJ80" s="19"/>
      <c r="AK80" s="19"/>
      <c r="AL80" s="19"/>
      <c r="AM80" s="19"/>
      <c r="AN80" s="20"/>
      <c r="AO80" s="19"/>
      <c r="AP80" s="20"/>
      <c r="AQ80" s="20"/>
      <c r="AR80" s="20"/>
      <c r="AS80" s="20"/>
      <c r="AT80" s="19"/>
      <c r="AU80" s="19"/>
      <c r="AV80" s="19"/>
      <c r="AW80" s="19"/>
      <c r="AX80" s="19"/>
      <c r="AY80" s="19"/>
      <c r="AZ80" s="17"/>
      <c r="BA80" s="17"/>
      <c r="BB80" s="17"/>
      <c r="BC80" s="17"/>
      <c r="BD80" s="17"/>
    </row>
    <row r="81" spans="1:57" x14ac:dyDescent="0.25">
      <c r="A81" s="157" t="s">
        <v>1091</v>
      </c>
      <c r="B81" s="19"/>
      <c r="C81" s="19"/>
      <c r="D81" s="19"/>
      <c r="E81" s="19"/>
      <c r="F81" s="19"/>
      <c r="G81" s="19"/>
      <c r="H81" s="19"/>
      <c r="I81" s="19"/>
      <c r="J81" s="19"/>
      <c r="K81" s="19"/>
      <c r="L81" s="19"/>
      <c r="M81" s="19"/>
      <c r="N81" s="19"/>
      <c r="O81" s="19"/>
      <c r="P81" s="19"/>
      <c r="Q81" s="19"/>
      <c r="R81" s="19"/>
      <c r="S81" s="19"/>
      <c r="T81" s="19"/>
      <c r="U81" s="19"/>
      <c r="V81" s="19"/>
      <c r="W81" s="19"/>
      <c r="X81" s="19"/>
      <c r="Y81" s="19"/>
      <c r="Z81" s="19">
        <v>100000</v>
      </c>
      <c r="AA81" s="19"/>
      <c r="AB81" s="19"/>
      <c r="AC81" s="19"/>
      <c r="AD81" s="19"/>
      <c r="AE81" s="20"/>
      <c r="AF81" s="19"/>
      <c r="AG81" s="19"/>
      <c r="AH81" s="19"/>
      <c r="AI81" s="19"/>
      <c r="AJ81" s="19"/>
      <c r="AK81" s="19"/>
      <c r="AL81" s="19"/>
      <c r="AM81" s="19"/>
      <c r="AN81" s="20"/>
      <c r="AO81" s="19"/>
      <c r="AP81" s="20"/>
      <c r="AQ81" s="20"/>
      <c r="AR81" s="20"/>
      <c r="AS81" s="20"/>
      <c r="AT81" s="19"/>
      <c r="AU81" s="19"/>
      <c r="AV81" s="19"/>
      <c r="AW81" s="19"/>
      <c r="AX81" s="19"/>
      <c r="AY81" s="19"/>
      <c r="AZ81" s="17"/>
      <c r="BA81" s="17"/>
      <c r="BB81" s="17"/>
      <c r="BC81" s="17"/>
      <c r="BD81" s="17"/>
    </row>
    <row r="82" spans="1:57" x14ac:dyDescent="0.25">
      <c r="A82" s="157" t="s">
        <v>144</v>
      </c>
      <c r="B82" s="19"/>
      <c r="C82" s="19"/>
      <c r="D82" s="19"/>
      <c r="E82" s="19"/>
      <c r="F82" s="19"/>
      <c r="G82" s="19"/>
      <c r="H82" s="19"/>
      <c r="I82" s="19"/>
      <c r="J82" s="19"/>
      <c r="K82" s="19"/>
      <c r="L82" s="19"/>
      <c r="M82" s="19"/>
      <c r="N82" s="19"/>
      <c r="O82" s="19"/>
      <c r="P82" s="19"/>
      <c r="Q82" s="19"/>
      <c r="R82" s="19"/>
      <c r="S82" s="19"/>
      <c r="T82" s="19"/>
      <c r="U82" s="19"/>
      <c r="V82" s="19"/>
      <c r="W82" s="19"/>
      <c r="X82" s="19"/>
      <c r="Y82" s="19"/>
      <c r="Z82" s="19">
        <v>98500</v>
      </c>
      <c r="AA82" s="19"/>
      <c r="AB82" s="19"/>
      <c r="AC82" s="19"/>
      <c r="AD82" s="19"/>
      <c r="AE82" s="20"/>
      <c r="AF82" s="19"/>
      <c r="AG82" s="19"/>
      <c r="AH82" s="19"/>
      <c r="AI82" s="19"/>
      <c r="AJ82" s="19"/>
      <c r="AK82" s="19"/>
      <c r="AL82" s="19"/>
      <c r="AM82" s="19"/>
      <c r="AN82" s="20"/>
      <c r="AO82" s="19"/>
      <c r="AP82" s="20"/>
      <c r="AQ82" s="20"/>
      <c r="AR82" s="20"/>
      <c r="AS82" s="20"/>
      <c r="AT82" s="19"/>
      <c r="AU82" s="19"/>
      <c r="AV82" s="19"/>
      <c r="AW82" s="19"/>
      <c r="AX82" s="19"/>
      <c r="AY82" s="19"/>
      <c r="AZ82" s="17"/>
      <c r="BA82" s="17"/>
      <c r="BB82" s="17"/>
      <c r="BC82" s="17"/>
      <c r="BD82" s="17"/>
    </row>
    <row r="83" spans="1:57" x14ac:dyDescent="0.25">
      <c r="A83" s="83" t="s">
        <v>90</v>
      </c>
      <c r="B83" s="19"/>
      <c r="C83" s="19"/>
      <c r="D83" s="19"/>
      <c r="E83" s="19"/>
      <c r="F83" s="18">
        <v>15680</v>
      </c>
      <c r="G83" s="19"/>
      <c r="H83" s="19"/>
      <c r="I83" s="19"/>
      <c r="J83" s="19"/>
      <c r="K83" s="19"/>
      <c r="L83" s="19"/>
      <c r="M83" s="19"/>
      <c r="N83" s="19"/>
      <c r="O83" s="19"/>
      <c r="P83" s="19"/>
      <c r="Q83" s="19"/>
      <c r="R83" s="19"/>
      <c r="S83" s="19"/>
      <c r="T83" s="19"/>
      <c r="U83" s="19"/>
      <c r="V83" s="19"/>
      <c r="W83" s="19"/>
      <c r="X83" s="19"/>
      <c r="Y83" s="19"/>
      <c r="Z83" s="19"/>
      <c r="AA83" s="19"/>
      <c r="AB83" s="19"/>
      <c r="AC83" s="19"/>
      <c r="AD83" s="19"/>
      <c r="AE83" s="20"/>
      <c r="AF83" s="19"/>
      <c r="AG83" s="19"/>
      <c r="AH83" s="19"/>
      <c r="AI83" s="19"/>
      <c r="AJ83" s="19"/>
      <c r="AK83" s="19"/>
      <c r="AL83" s="19"/>
      <c r="AM83" s="19"/>
      <c r="AN83" s="20"/>
      <c r="AO83" s="19"/>
      <c r="AP83" s="20"/>
      <c r="AQ83" s="20"/>
      <c r="AR83" s="20"/>
      <c r="AS83" s="20"/>
      <c r="AT83" s="19"/>
      <c r="AU83" s="19"/>
      <c r="AV83" s="19"/>
      <c r="AW83" s="19"/>
      <c r="AX83" s="19"/>
      <c r="AY83" s="19"/>
      <c r="AZ83" s="17"/>
      <c r="BA83" s="17"/>
      <c r="BB83" s="17"/>
      <c r="BC83" s="17"/>
      <c r="BD83" s="17"/>
    </row>
    <row r="84" spans="1:57" x14ac:dyDescent="0.25">
      <c r="A84" s="34" t="s">
        <v>80</v>
      </c>
      <c r="B84" s="19"/>
      <c r="C84" s="19"/>
      <c r="D84" s="19"/>
      <c r="E84" s="19"/>
      <c r="F84" s="19"/>
      <c r="G84" s="19"/>
      <c r="H84" s="19"/>
      <c r="I84" s="19"/>
      <c r="J84" s="19"/>
      <c r="K84" s="19"/>
      <c r="L84" s="19"/>
      <c r="M84" s="19">
        <v>4500</v>
      </c>
      <c r="N84" s="19"/>
      <c r="O84" s="19"/>
      <c r="P84" s="19"/>
      <c r="Q84" s="19"/>
      <c r="R84" s="19"/>
      <c r="S84" s="19"/>
      <c r="T84" s="19"/>
      <c r="U84" s="19"/>
      <c r="V84" s="19"/>
      <c r="W84" s="19"/>
      <c r="X84" s="19">
        <v>8080</v>
      </c>
      <c r="Y84" s="19"/>
      <c r="Z84" s="19"/>
      <c r="AA84" s="19">
        <v>12000</v>
      </c>
      <c r="AB84" s="19"/>
      <c r="AC84" s="19"/>
      <c r="AD84" s="19"/>
      <c r="AE84" s="20"/>
      <c r="AF84" s="19"/>
      <c r="AG84" s="19"/>
      <c r="AH84" s="19"/>
      <c r="AI84" s="19"/>
      <c r="AJ84" s="19"/>
      <c r="AK84" s="19"/>
      <c r="AL84" s="19">
        <v>40000</v>
      </c>
      <c r="AM84" s="19"/>
      <c r="AN84" s="20"/>
      <c r="AO84" s="19"/>
      <c r="AP84" s="20"/>
      <c r="AQ84" s="20"/>
      <c r="AR84" s="20"/>
      <c r="AS84" s="20"/>
      <c r="AT84" s="19"/>
      <c r="AU84" s="19"/>
      <c r="AV84" s="19"/>
      <c r="AW84" s="19"/>
      <c r="AX84" s="19"/>
      <c r="AY84" s="19"/>
      <c r="AZ84" s="17"/>
      <c r="BA84" s="17"/>
      <c r="BB84" s="17"/>
      <c r="BC84" s="17"/>
      <c r="BD84" s="17"/>
    </row>
    <row r="85" spans="1:57" x14ac:dyDescent="0.25">
      <c r="A85" s="34" t="s">
        <v>123</v>
      </c>
      <c r="B85" s="19"/>
      <c r="C85" s="19"/>
      <c r="D85" s="19"/>
      <c r="E85" s="19"/>
      <c r="F85" s="19"/>
      <c r="G85" s="19"/>
      <c r="H85" s="19"/>
      <c r="I85" s="19"/>
      <c r="J85" s="19"/>
      <c r="K85" s="19"/>
      <c r="L85" s="19"/>
      <c r="M85" s="19"/>
      <c r="N85" s="19"/>
      <c r="O85" s="19"/>
      <c r="P85" s="19"/>
      <c r="Q85" s="19"/>
      <c r="R85" s="19"/>
      <c r="S85" s="19"/>
      <c r="T85" s="19"/>
      <c r="U85" s="19"/>
      <c r="V85" s="19"/>
      <c r="W85" s="19"/>
      <c r="X85" s="19"/>
      <c r="Y85" s="19"/>
      <c r="Z85" s="19"/>
      <c r="AA85" s="19">
        <v>168040</v>
      </c>
      <c r="AB85" s="19"/>
      <c r="AC85" s="19"/>
      <c r="AD85" s="19"/>
      <c r="AE85" s="20"/>
      <c r="AF85" s="19"/>
      <c r="AG85" s="19"/>
      <c r="AH85" s="19"/>
      <c r="AI85" s="19"/>
      <c r="AJ85" s="19"/>
      <c r="AK85" s="19"/>
      <c r="AL85" s="19"/>
      <c r="AM85" s="19"/>
      <c r="AN85" s="20"/>
      <c r="AO85" s="19"/>
      <c r="AP85" s="20"/>
      <c r="AQ85" s="20"/>
      <c r="AR85" s="20"/>
      <c r="AS85" s="20"/>
      <c r="AT85" s="19"/>
      <c r="AU85" s="19"/>
      <c r="AV85" s="19"/>
      <c r="AW85" s="19"/>
      <c r="AX85" s="19"/>
      <c r="AY85" s="19"/>
      <c r="AZ85" s="17"/>
      <c r="BA85" s="17"/>
      <c r="BB85" s="17"/>
      <c r="BC85" s="17"/>
      <c r="BD85" s="17"/>
    </row>
    <row r="86" spans="1:57" x14ac:dyDescent="0.25">
      <c r="A86" s="34" t="s">
        <v>81</v>
      </c>
      <c r="B86" s="19"/>
      <c r="C86" s="19"/>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20"/>
      <c r="AF86" s="19"/>
      <c r="AG86" s="19"/>
      <c r="AH86" s="19"/>
      <c r="AI86" s="19"/>
      <c r="AJ86" s="19"/>
      <c r="AK86" s="19">
        <f>331360+55000</f>
        <v>386360</v>
      </c>
      <c r="AL86" s="19"/>
      <c r="AM86" s="19"/>
      <c r="AN86" s="20"/>
      <c r="AO86" s="19"/>
      <c r="AP86" s="20"/>
      <c r="AQ86" s="20"/>
      <c r="AR86" s="20"/>
      <c r="AS86" s="20"/>
      <c r="AT86" s="19"/>
      <c r="AU86" s="19"/>
      <c r="AV86" s="19"/>
      <c r="AW86" s="19"/>
      <c r="AX86" s="19"/>
      <c r="AY86" s="19"/>
      <c r="AZ86" s="17"/>
      <c r="BA86" s="17"/>
      <c r="BB86" s="17"/>
      <c r="BC86" s="17"/>
      <c r="BD86" s="17"/>
    </row>
    <row r="87" spans="1:57" x14ac:dyDescent="0.25">
      <c r="A87" s="34"/>
      <c r="B87" s="19"/>
      <c r="C87" s="19"/>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20"/>
      <c r="AF87" s="19"/>
      <c r="AG87" s="19"/>
      <c r="AH87" s="19"/>
      <c r="AI87" s="19"/>
      <c r="AJ87" s="19"/>
      <c r="AK87" s="19"/>
      <c r="AL87" s="19"/>
      <c r="AM87" s="19"/>
      <c r="AN87" s="20"/>
      <c r="AO87" s="19"/>
      <c r="AP87" s="20"/>
      <c r="AQ87" s="20"/>
      <c r="AR87" s="20"/>
      <c r="AS87" s="20"/>
      <c r="AT87" s="19"/>
      <c r="AU87" s="19"/>
      <c r="AV87" s="19"/>
      <c r="AW87" s="19"/>
      <c r="AX87" s="19"/>
      <c r="AY87" s="19"/>
      <c r="AZ87" s="17"/>
      <c r="BA87" s="17"/>
      <c r="BB87" s="17"/>
      <c r="BC87" s="17"/>
      <c r="BD87" s="17"/>
    </row>
    <row r="88" spans="1:57" x14ac:dyDescent="0.25">
      <c r="A88" s="83" t="s">
        <v>82</v>
      </c>
      <c r="B88" s="19"/>
      <c r="C88" s="19"/>
      <c r="D88" s="19"/>
      <c r="E88" s="19"/>
      <c r="F88" s="19">
        <f>37980</f>
        <v>37980</v>
      </c>
      <c r="G88" s="19"/>
      <c r="H88" s="19"/>
      <c r="I88" s="19"/>
      <c r="J88" s="19"/>
      <c r="K88" s="19"/>
      <c r="L88" s="19"/>
      <c r="M88" s="19">
        <v>28000</v>
      </c>
      <c r="N88" s="19">
        <f>6040+25860</f>
        <v>31900</v>
      </c>
      <c r="O88" s="19"/>
      <c r="P88" s="19">
        <v>80000</v>
      </c>
      <c r="Q88" s="19"/>
      <c r="R88" s="19"/>
      <c r="S88" s="19"/>
      <c r="T88" s="19"/>
      <c r="U88" s="19"/>
      <c r="V88" s="19"/>
      <c r="W88" s="19"/>
      <c r="X88" s="19"/>
      <c r="Y88" s="19"/>
      <c r="Z88" s="19">
        <v>438000</v>
      </c>
      <c r="AA88" s="19"/>
      <c r="AB88" s="19"/>
      <c r="AC88" s="19"/>
      <c r="AD88" s="19"/>
      <c r="AE88" s="20"/>
      <c r="AF88" s="19">
        <v>20000</v>
      </c>
      <c r="AG88" s="19"/>
      <c r="AH88" s="19"/>
      <c r="AI88" s="19"/>
      <c r="AJ88" s="19"/>
      <c r="AK88" s="19"/>
      <c r="AL88" s="19"/>
      <c r="AM88" s="19"/>
      <c r="AN88" s="20"/>
      <c r="AO88" s="19"/>
      <c r="AP88" s="20"/>
      <c r="AQ88" s="20"/>
      <c r="AR88" s="20"/>
      <c r="AS88" s="20"/>
      <c r="AT88" s="19"/>
      <c r="AU88" s="19"/>
      <c r="AV88" s="19"/>
      <c r="AW88" s="19"/>
      <c r="AX88" s="19"/>
      <c r="AY88" s="19"/>
      <c r="AZ88" s="17"/>
      <c r="BA88" s="17"/>
      <c r="BB88" s="17"/>
      <c r="BC88" s="17"/>
      <c r="BD88" s="17"/>
    </row>
    <row r="89" spans="1:57" x14ac:dyDescent="0.25">
      <c r="A89" s="88"/>
      <c r="B89" s="19"/>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7"/>
      <c r="AZ89" s="17"/>
      <c r="BA89" s="17"/>
      <c r="BB89" s="17"/>
      <c r="BC89" s="17"/>
      <c r="BD89" s="17"/>
    </row>
    <row r="90" spans="1:57" x14ac:dyDescent="0.25">
      <c r="A90" s="89" t="s">
        <v>83</v>
      </c>
      <c r="B90" s="30">
        <f t="shared" ref="B90:I90" si="0">SUM(B8:B88)</f>
        <v>165470</v>
      </c>
      <c r="C90" s="30">
        <f t="shared" si="0"/>
        <v>208352</v>
      </c>
      <c r="D90" s="30">
        <f t="shared" si="0"/>
        <v>112211</v>
      </c>
      <c r="E90" s="30">
        <f t="shared" si="0"/>
        <v>107699</v>
      </c>
      <c r="F90" s="30">
        <f t="shared" si="0"/>
        <v>112379</v>
      </c>
      <c r="G90" s="30">
        <f t="shared" si="0"/>
        <v>479779</v>
      </c>
      <c r="H90" s="30">
        <f t="shared" si="0"/>
        <v>1237915</v>
      </c>
      <c r="I90" s="30">
        <f t="shared" si="0"/>
        <v>1846693</v>
      </c>
      <c r="J90" s="30"/>
      <c r="K90" s="30">
        <f>SUM(K8:K88)</f>
        <v>448614</v>
      </c>
      <c r="L90" s="30">
        <f>SUM(L8:L88)</f>
        <v>627025</v>
      </c>
      <c r="M90" s="30">
        <f>SUM(M8:M88)</f>
        <v>773125</v>
      </c>
      <c r="N90" s="30">
        <f>SUM(N8:N88)</f>
        <v>378000</v>
      </c>
      <c r="O90" s="30"/>
      <c r="P90" s="30">
        <f>SUM(P8:P88)</f>
        <v>418652</v>
      </c>
      <c r="Q90" s="30">
        <f>SUM(Q8:Q88)</f>
        <v>466752</v>
      </c>
      <c r="R90" s="30">
        <f>SUM(R8:R88)</f>
        <v>373401.59999999998</v>
      </c>
      <c r="S90" s="30">
        <f>SUM(S8:S88)</f>
        <v>419238</v>
      </c>
      <c r="T90" s="30"/>
      <c r="U90" s="30">
        <f>SUM(U8:U88)</f>
        <v>161120</v>
      </c>
      <c r="V90" s="30"/>
      <c r="W90" s="30">
        <f>SUM(W8:W88)</f>
        <v>288870</v>
      </c>
      <c r="X90" s="30">
        <f>SUM(X8:X88)</f>
        <v>614080</v>
      </c>
      <c r="Y90" s="30"/>
      <c r="Z90" s="30">
        <f>SUM(Z8:Z88)</f>
        <v>2242760</v>
      </c>
      <c r="AA90" s="30">
        <f>SUM(AA8:AA88)</f>
        <v>1516557</v>
      </c>
      <c r="AB90" s="30">
        <f>SUM(AB8:AB88)</f>
        <v>1284840</v>
      </c>
      <c r="AC90" s="30">
        <f>SUM(AC8:AC88)</f>
        <v>890940</v>
      </c>
      <c r="AD90" s="30">
        <f>SUM(AD8:AD88)</f>
        <v>882839</v>
      </c>
      <c r="AE90" s="30"/>
      <c r="AF90" s="30">
        <f>SUM(AF8:AF88)</f>
        <v>1693231</v>
      </c>
      <c r="AG90" s="30">
        <f>SUM(AG8:AG88)</f>
        <v>1286870</v>
      </c>
      <c r="AH90" s="30">
        <f>SUM(AH8:AH88)</f>
        <v>1313763</v>
      </c>
      <c r="AI90" s="30">
        <f>SUM(AI8:AI88)</f>
        <v>1617749</v>
      </c>
      <c r="AJ90" s="30"/>
      <c r="AK90" s="30">
        <f>SUM(AK8:AK88)</f>
        <v>1395535</v>
      </c>
      <c r="AL90" s="30">
        <f>SUM(AL8:AL88)</f>
        <v>2015931</v>
      </c>
      <c r="AM90" s="30">
        <f>SUM(AM8:AM88)</f>
        <v>2460570</v>
      </c>
      <c r="AN90" s="30"/>
      <c r="AO90" s="30">
        <f>SUM(AO8:AO88)</f>
        <v>1532793</v>
      </c>
      <c r="AP90" s="30"/>
      <c r="AQ90" s="30"/>
      <c r="AR90" s="30"/>
      <c r="AS90" s="30"/>
      <c r="AT90" s="28">
        <f>SUM(AT8:AT88)</f>
        <v>5201010</v>
      </c>
      <c r="AU90" s="28">
        <f>SUM(AU8:AU88)</f>
        <v>6437173</v>
      </c>
      <c r="AV90" s="28"/>
      <c r="AW90" s="28">
        <f>SUM(AW8:AW88)</f>
        <v>4714329</v>
      </c>
      <c r="AX90" s="28"/>
      <c r="AY90" s="28">
        <f t="shared" ref="AY90:BD90" si="1">SUM(AY8:AY88)</f>
        <v>4882642</v>
      </c>
      <c r="AZ90" s="28">
        <f t="shared" si="1"/>
        <v>6030001</v>
      </c>
      <c r="BA90" s="28">
        <f t="shared" si="1"/>
        <v>8668119</v>
      </c>
      <c r="BB90" s="28">
        <f t="shared" si="1"/>
        <v>0</v>
      </c>
      <c r="BC90" s="28">
        <f t="shared" si="1"/>
        <v>13751859</v>
      </c>
      <c r="BD90" s="28">
        <f t="shared" si="1"/>
        <v>13676811</v>
      </c>
    </row>
    <row r="91" spans="1:57" x14ac:dyDescent="0.25">
      <c r="E91" s="17"/>
    </row>
    <row r="92" spans="1:57" x14ac:dyDescent="0.25">
      <c r="A92" s="90" t="s">
        <v>620</v>
      </c>
      <c r="B92" s="10">
        <f t="shared" ref="B92:I92" si="2">B90-B8</f>
        <v>106450</v>
      </c>
      <c r="C92" s="10">
        <f t="shared" si="2"/>
        <v>161860</v>
      </c>
      <c r="D92" s="10">
        <f t="shared" si="2"/>
        <v>33370</v>
      </c>
      <c r="E92" s="10">
        <f t="shared" si="2"/>
        <v>113010</v>
      </c>
      <c r="F92" s="10">
        <f t="shared" si="2"/>
        <v>90980</v>
      </c>
      <c r="G92" s="10">
        <f t="shared" si="2"/>
        <v>439400</v>
      </c>
      <c r="H92" s="10">
        <f t="shared" si="2"/>
        <v>917640</v>
      </c>
      <c r="I92" s="10">
        <f t="shared" si="2"/>
        <v>782700</v>
      </c>
      <c r="J92" s="10"/>
      <c r="K92" s="10">
        <f>K90-K8</f>
        <v>324600</v>
      </c>
      <c r="L92" s="10">
        <f>L90-L8</f>
        <v>336130</v>
      </c>
      <c r="M92" s="10">
        <f>M90-M8</f>
        <v>390720</v>
      </c>
      <c r="N92" s="10">
        <f>N90-N8</f>
        <v>234000</v>
      </c>
      <c r="O92" s="10"/>
      <c r="P92" s="10">
        <f>P90-P8</f>
        <v>373820</v>
      </c>
      <c r="Q92" s="10">
        <f>Q90-Q8</f>
        <v>421920</v>
      </c>
      <c r="R92" s="10">
        <f>R90-R8</f>
        <v>337536</v>
      </c>
      <c r="S92" s="10">
        <f>S90-S8</f>
        <v>418500</v>
      </c>
      <c r="T92" s="10"/>
      <c r="U92" s="10">
        <f>U90-U8</f>
        <v>161120</v>
      </c>
      <c r="V92" s="10"/>
      <c r="W92" s="10">
        <f>W90-W8</f>
        <v>288870</v>
      </c>
      <c r="X92" s="10">
        <f>X90-X8</f>
        <v>614080</v>
      </c>
      <c r="Y92" s="10"/>
      <c r="Z92" s="10">
        <f>Z90-Z8</f>
        <v>2242760</v>
      </c>
      <c r="AA92" s="10">
        <f>AA90-AA8</f>
        <v>1516557</v>
      </c>
      <c r="AB92" s="10">
        <f>AB90-AB8</f>
        <v>1284840</v>
      </c>
      <c r="AC92" s="10">
        <f>AC90-AC8</f>
        <v>890940</v>
      </c>
      <c r="AD92" s="10">
        <f>AD90-AD8</f>
        <v>658847</v>
      </c>
      <c r="AE92" s="10"/>
      <c r="AF92" s="10">
        <f t="shared" ref="AF92:AM92" si="3">AF90-AF8</f>
        <v>729940</v>
      </c>
      <c r="AG92" s="10">
        <f t="shared" si="3"/>
        <v>1124070</v>
      </c>
      <c r="AH92" s="10">
        <f t="shared" si="3"/>
        <v>1294540</v>
      </c>
      <c r="AI92" s="10">
        <f t="shared" si="3"/>
        <v>1594860</v>
      </c>
      <c r="AJ92" s="10">
        <f t="shared" si="3"/>
        <v>0</v>
      </c>
      <c r="AK92" s="10">
        <f t="shared" si="3"/>
        <v>1248440</v>
      </c>
      <c r="AL92" s="10">
        <f t="shared" si="3"/>
        <v>1995000</v>
      </c>
      <c r="AM92" s="10">
        <f t="shared" si="3"/>
        <v>2182200</v>
      </c>
      <c r="AN92" s="10"/>
      <c r="AO92" s="10">
        <f>AO90-AO8</f>
        <v>1412760</v>
      </c>
      <c r="AP92" s="10"/>
      <c r="AQ92" s="10"/>
      <c r="AR92" s="10"/>
      <c r="AS92" s="10"/>
      <c r="AT92" s="10">
        <f>AT90-AT8</f>
        <v>4816700</v>
      </c>
      <c r="AU92" s="10">
        <f>AU90-AU8</f>
        <v>5828163</v>
      </c>
      <c r="AV92" s="10"/>
      <c r="AW92" s="10">
        <f>AW90-AW8</f>
        <v>4629100</v>
      </c>
      <c r="AX92" s="10"/>
      <c r="AY92" s="10">
        <f t="shared" ref="AY92:BD92" si="4">AY90-AY8</f>
        <v>4782910</v>
      </c>
      <c r="AZ92" s="10">
        <f t="shared" si="4"/>
        <v>5758850</v>
      </c>
      <c r="BA92" s="10">
        <f t="shared" si="4"/>
        <v>8650400</v>
      </c>
      <c r="BB92" s="10">
        <f t="shared" si="4"/>
        <v>0</v>
      </c>
      <c r="BC92" s="10">
        <f t="shared" si="4"/>
        <v>12979630</v>
      </c>
      <c r="BD92" s="10">
        <f t="shared" si="4"/>
        <v>12920700</v>
      </c>
      <c r="BE92" s="9"/>
    </row>
    <row r="94" spans="1:57" x14ac:dyDescent="0.25">
      <c r="A94" s="94"/>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row>
    <row r="96" spans="1:57" x14ac:dyDescent="0.25">
      <c r="A96" s="78" t="s">
        <v>301</v>
      </c>
    </row>
    <row r="97" spans="1:56" x14ac:dyDescent="0.25">
      <c r="A97" s="79" t="s">
        <v>88</v>
      </c>
      <c r="B97" s="15" t="s">
        <v>1106</v>
      </c>
      <c r="C97" s="16" t="s">
        <v>1107</v>
      </c>
      <c r="D97" s="16" t="s">
        <v>1108</v>
      </c>
      <c r="E97" s="16" t="s">
        <v>1109</v>
      </c>
      <c r="F97" s="16" t="s">
        <v>1110</v>
      </c>
      <c r="G97" s="16" t="s">
        <v>1111</v>
      </c>
      <c r="H97" s="15" t="s">
        <v>1112</v>
      </c>
      <c r="I97" s="15" t="s">
        <v>1112</v>
      </c>
      <c r="J97" s="16"/>
      <c r="K97" s="16" t="s">
        <v>1113</v>
      </c>
      <c r="L97" s="16" t="s">
        <v>1113</v>
      </c>
      <c r="M97" s="15" t="s">
        <v>1114</v>
      </c>
      <c r="N97" s="15" t="s">
        <v>1114</v>
      </c>
      <c r="O97" s="15"/>
      <c r="P97" s="16" t="s">
        <v>1115</v>
      </c>
      <c r="Q97" s="16" t="s">
        <v>1115</v>
      </c>
      <c r="R97" s="16"/>
      <c r="S97" s="15" t="s">
        <v>0</v>
      </c>
      <c r="T97" s="16"/>
      <c r="U97" s="22" t="s">
        <v>1116</v>
      </c>
      <c r="V97" s="16"/>
      <c r="W97" s="22" t="s">
        <v>1117</v>
      </c>
      <c r="X97" s="22" t="s">
        <v>180</v>
      </c>
      <c r="Y97" s="22"/>
      <c r="Z97" s="16" t="s">
        <v>1</v>
      </c>
      <c r="AA97" s="22" t="s">
        <v>1118</v>
      </c>
      <c r="AB97" s="16" t="s">
        <v>2</v>
      </c>
      <c r="AC97" s="16" t="s">
        <v>3</v>
      </c>
      <c r="AD97" s="16" t="s">
        <v>4</v>
      </c>
      <c r="AE97" s="16"/>
      <c r="AF97" s="23" t="s">
        <v>1119</v>
      </c>
      <c r="AG97" s="23" t="s">
        <v>1120</v>
      </c>
      <c r="AH97" s="23" t="s">
        <v>1121</v>
      </c>
      <c r="AI97" s="23" t="s">
        <v>1122</v>
      </c>
      <c r="AJ97" s="16"/>
      <c r="AK97" s="23" t="s">
        <v>188</v>
      </c>
      <c r="AL97" s="23" t="s">
        <v>188</v>
      </c>
      <c r="AM97" s="22" t="s">
        <v>1123</v>
      </c>
      <c r="AN97" s="16"/>
      <c r="AO97" s="15" t="s">
        <v>190</v>
      </c>
      <c r="AP97" s="16"/>
      <c r="AQ97" s="16"/>
      <c r="AR97" s="16"/>
      <c r="AS97" s="16"/>
      <c r="AT97" s="15" t="s">
        <v>1124</v>
      </c>
      <c r="AU97" s="16" t="s">
        <v>195</v>
      </c>
      <c r="AV97" s="16" t="s">
        <v>5</v>
      </c>
      <c r="AW97" s="16" t="s">
        <v>198</v>
      </c>
      <c r="AX97" s="16"/>
      <c r="AY97" s="16" t="s">
        <v>200</v>
      </c>
      <c r="AZ97" s="16" t="s">
        <v>201</v>
      </c>
      <c r="BA97" s="16" t="s">
        <v>201</v>
      </c>
      <c r="BB97" s="16"/>
      <c r="BC97" s="16" t="s">
        <v>6</v>
      </c>
      <c r="BD97" s="16" t="s">
        <v>6</v>
      </c>
    </row>
    <row r="98" spans="1:56" x14ac:dyDescent="0.25">
      <c r="A98" s="79" t="s">
        <v>89</v>
      </c>
      <c r="B98" s="15" t="s">
        <v>1203</v>
      </c>
      <c r="C98" s="15" t="s">
        <v>1204</v>
      </c>
      <c r="D98" s="15" t="s">
        <v>1205</v>
      </c>
      <c r="E98" s="15" t="s">
        <v>1206</v>
      </c>
      <c r="F98" s="15" t="s">
        <v>1207</v>
      </c>
      <c r="G98" s="15" t="s">
        <v>1208</v>
      </c>
      <c r="H98" s="15" t="s">
        <v>1209</v>
      </c>
      <c r="I98" s="15" t="s">
        <v>1210</v>
      </c>
      <c r="J98" s="15"/>
      <c r="K98" s="15" t="s">
        <v>1211</v>
      </c>
      <c r="L98" s="15" t="s">
        <v>1212</v>
      </c>
      <c r="M98" s="15" t="s">
        <v>1213</v>
      </c>
      <c r="N98" s="15" t="s">
        <v>1213</v>
      </c>
      <c r="O98" s="15"/>
      <c r="P98" s="15" t="s">
        <v>1214</v>
      </c>
      <c r="Q98" s="15" t="s">
        <v>1214</v>
      </c>
      <c r="R98" s="15" t="s">
        <v>125</v>
      </c>
      <c r="S98" s="15" t="s">
        <v>1215</v>
      </c>
      <c r="T98" s="16"/>
      <c r="U98" s="22" t="s">
        <v>1216</v>
      </c>
      <c r="V98" s="16"/>
      <c r="W98" s="22" t="s">
        <v>1217</v>
      </c>
      <c r="X98" s="22" t="s">
        <v>1218</v>
      </c>
      <c r="Y98" s="16"/>
      <c r="Z98" s="16" t="s">
        <v>1219</v>
      </c>
      <c r="AA98" s="22" t="s">
        <v>1220</v>
      </c>
      <c r="AB98" s="16" t="s">
        <v>1221</v>
      </c>
      <c r="AC98" s="16" t="s">
        <v>1222</v>
      </c>
      <c r="AD98" s="16" t="s">
        <v>1223</v>
      </c>
      <c r="AE98" s="16"/>
      <c r="AF98" s="23" t="s">
        <v>1224</v>
      </c>
      <c r="AG98" s="23" t="s">
        <v>1225</v>
      </c>
      <c r="AH98" s="23" t="s">
        <v>1226</v>
      </c>
      <c r="AI98" s="23" t="s">
        <v>1227</v>
      </c>
      <c r="AJ98" s="16"/>
      <c r="AK98" s="23" t="s">
        <v>1228</v>
      </c>
      <c r="AL98" s="23" t="s">
        <v>1228</v>
      </c>
      <c r="AM98" s="22" t="s">
        <v>1229</v>
      </c>
      <c r="AN98" s="16"/>
      <c r="AO98" s="16" t="s">
        <v>1230</v>
      </c>
      <c r="AP98" s="16"/>
      <c r="AQ98" s="16"/>
      <c r="AR98" s="16"/>
      <c r="AS98" s="16"/>
      <c r="AT98" s="15" t="s">
        <v>1231</v>
      </c>
      <c r="AU98" s="16" t="s">
        <v>1232</v>
      </c>
      <c r="AV98" s="16"/>
      <c r="AW98" s="16" t="s">
        <v>1233</v>
      </c>
      <c r="AX98" s="16"/>
      <c r="AY98" s="16" t="s">
        <v>1234</v>
      </c>
      <c r="AZ98" s="16" t="s">
        <v>1235</v>
      </c>
      <c r="BA98" s="16" t="s">
        <v>1236</v>
      </c>
      <c r="BB98" s="16"/>
      <c r="BC98" s="16" t="s">
        <v>1237</v>
      </c>
      <c r="BD98" s="16" t="s">
        <v>1237</v>
      </c>
    </row>
    <row r="99" spans="1:56" x14ac:dyDescent="0.25">
      <c r="A99" s="80" t="s">
        <v>85</v>
      </c>
      <c r="B99" s="24" t="s">
        <v>7</v>
      </c>
      <c r="C99" s="24" t="s">
        <v>8</v>
      </c>
      <c r="D99" s="24" t="s">
        <v>9</v>
      </c>
      <c r="E99" s="24" t="s">
        <v>10</v>
      </c>
      <c r="F99" s="24" t="s">
        <v>11</v>
      </c>
      <c r="G99" s="24" t="s">
        <v>12</v>
      </c>
      <c r="H99" s="24" t="s">
        <v>13</v>
      </c>
      <c r="I99" s="24" t="s">
        <v>14</v>
      </c>
      <c r="J99" s="25" t="s">
        <v>15</v>
      </c>
      <c r="K99" s="24" t="s">
        <v>16</v>
      </c>
      <c r="L99" s="24" t="s">
        <v>17</v>
      </c>
      <c r="M99" s="24" t="s">
        <v>18</v>
      </c>
      <c r="N99" s="24" t="s">
        <v>19</v>
      </c>
      <c r="O99" s="24" t="s">
        <v>91</v>
      </c>
      <c r="P99" s="24" t="s">
        <v>20</v>
      </c>
      <c r="Q99" s="24" t="s">
        <v>21</v>
      </c>
      <c r="R99" s="24">
        <v>1851</v>
      </c>
      <c r="S99" s="24">
        <v>1852</v>
      </c>
      <c r="T99" s="24">
        <v>1853</v>
      </c>
      <c r="U99" s="24">
        <v>1854</v>
      </c>
      <c r="V99" s="24">
        <v>1855</v>
      </c>
      <c r="W99" s="24">
        <v>1856</v>
      </c>
      <c r="X99" s="24">
        <v>1857</v>
      </c>
      <c r="Y99" s="24">
        <v>1858</v>
      </c>
      <c r="Z99" s="24">
        <v>1859</v>
      </c>
      <c r="AA99" s="24">
        <v>1860</v>
      </c>
      <c r="AB99" s="24">
        <v>1861</v>
      </c>
      <c r="AC99" s="24">
        <v>1862</v>
      </c>
      <c r="AD99" s="24" t="s">
        <v>94</v>
      </c>
      <c r="AE99" s="24" t="s">
        <v>95</v>
      </c>
      <c r="AF99" s="24" t="s">
        <v>96</v>
      </c>
      <c r="AG99" s="24" t="s">
        <v>97</v>
      </c>
      <c r="AH99" s="24" t="s">
        <v>98</v>
      </c>
      <c r="AI99" s="24" t="s">
        <v>99</v>
      </c>
      <c r="AJ99" s="24" t="s">
        <v>100</v>
      </c>
      <c r="AK99" s="24" t="s">
        <v>101</v>
      </c>
      <c r="AL99" s="24" t="s">
        <v>102</v>
      </c>
      <c r="AM99" s="24" t="s">
        <v>103</v>
      </c>
      <c r="AN99" s="24" t="s">
        <v>104</v>
      </c>
      <c r="AO99" s="24" t="s">
        <v>22</v>
      </c>
      <c r="AP99" s="24" t="s">
        <v>105</v>
      </c>
      <c r="AQ99" s="24" t="s">
        <v>106</v>
      </c>
      <c r="AR99" s="24" t="s">
        <v>107</v>
      </c>
      <c r="AS99" s="24" t="s">
        <v>108</v>
      </c>
      <c r="AT99" s="25" t="s">
        <v>23</v>
      </c>
      <c r="AU99" s="24" t="s">
        <v>24</v>
      </c>
      <c r="AV99" s="24" t="s">
        <v>25</v>
      </c>
      <c r="AW99" s="24" t="s">
        <v>26</v>
      </c>
      <c r="AX99" s="24" t="s">
        <v>27</v>
      </c>
      <c r="AY99" s="24" t="s">
        <v>28</v>
      </c>
      <c r="AZ99" s="24" t="s">
        <v>29</v>
      </c>
      <c r="BA99" s="24" t="s">
        <v>30</v>
      </c>
      <c r="BB99" s="26" t="s">
        <v>31</v>
      </c>
      <c r="BC99" s="24" t="s">
        <v>32</v>
      </c>
      <c r="BD99" s="24" t="s">
        <v>33</v>
      </c>
    </row>
    <row r="100" spans="1:56" x14ac:dyDescent="0.25">
      <c r="A100" s="81" t="s">
        <v>86</v>
      </c>
      <c r="B100" s="16" t="s">
        <v>34</v>
      </c>
      <c r="C100" s="16" t="s">
        <v>35</v>
      </c>
      <c r="D100" s="16" t="s">
        <v>36</v>
      </c>
      <c r="E100" s="16" t="s">
        <v>37</v>
      </c>
      <c r="F100" s="16" t="s">
        <v>38</v>
      </c>
      <c r="G100" s="16" t="s">
        <v>39</v>
      </c>
      <c r="H100" s="16" t="s">
        <v>40</v>
      </c>
      <c r="I100" s="16" t="s">
        <v>41</v>
      </c>
      <c r="J100" s="16"/>
      <c r="K100" s="16" t="s">
        <v>42</v>
      </c>
      <c r="L100" s="16" t="s">
        <v>43</v>
      </c>
      <c r="M100" s="16" t="s">
        <v>44</v>
      </c>
      <c r="N100" s="16" t="s">
        <v>45</v>
      </c>
      <c r="O100" s="16"/>
      <c r="P100" s="16" t="s">
        <v>46</v>
      </c>
      <c r="Q100" s="16" t="s">
        <v>47</v>
      </c>
      <c r="R100" s="16" t="s">
        <v>48</v>
      </c>
      <c r="S100" s="15" t="s">
        <v>49</v>
      </c>
      <c r="T100" s="16"/>
      <c r="U100" s="22" t="s">
        <v>50</v>
      </c>
      <c r="V100" s="16"/>
      <c r="W100" s="22" t="s">
        <v>51</v>
      </c>
      <c r="X100" s="22" t="s">
        <v>52</v>
      </c>
      <c r="Y100" s="16"/>
      <c r="Z100" s="16" t="s">
        <v>53</v>
      </c>
      <c r="AA100" s="22" t="s">
        <v>54</v>
      </c>
      <c r="AB100" s="16" t="s">
        <v>55</v>
      </c>
      <c r="AC100" s="16" t="s">
        <v>56</v>
      </c>
      <c r="AD100" s="16" t="s">
        <v>57</v>
      </c>
      <c r="AE100" s="16"/>
      <c r="AF100" s="23" t="s">
        <v>126</v>
      </c>
      <c r="AG100" s="23" t="s">
        <v>58</v>
      </c>
      <c r="AH100" s="23" t="s">
        <v>59</v>
      </c>
      <c r="AI100" s="23" t="s">
        <v>60</v>
      </c>
      <c r="AJ100" s="16"/>
      <c r="AK100" s="23" t="s">
        <v>61</v>
      </c>
      <c r="AL100" s="23" t="s">
        <v>62</v>
      </c>
      <c r="AM100" s="22" t="s">
        <v>127</v>
      </c>
      <c r="AN100" s="16"/>
      <c r="AO100" s="16" t="s">
        <v>63</v>
      </c>
      <c r="AP100" s="16"/>
      <c r="AQ100" s="16"/>
      <c r="AR100" s="16"/>
      <c r="AS100" s="16"/>
      <c r="AT100" s="15" t="s">
        <v>64</v>
      </c>
      <c r="AU100" s="16" t="s">
        <v>128</v>
      </c>
      <c r="AV100" s="16"/>
      <c r="AW100" s="16" t="s">
        <v>65</v>
      </c>
      <c r="AX100" s="16"/>
      <c r="AY100" s="16" t="s">
        <v>66</v>
      </c>
      <c r="AZ100" s="16" t="s">
        <v>67</v>
      </c>
      <c r="BA100" s="16" t="s">
        <v>68</v>
      </c>
      <c r="BB100" s="16"/>
      <c r="BC100" s="16" t="s">
        <v>69</v>
      </c>
      <c r="BD100" s="16" t="s">
        <v>69</v>
      </c>
    </row>
    <row r="101" spans="1:56" x14ac:dyDescent="0.25">
      <c r="A101" s="79" t="s">
        <v>84</v>
      </c>
      <c r="B101" s="16" t="s">
        <v>70</v>
      </c>
      <c r="C101" s="16" t="s">
        <v>70</v>
      </c>
      <c r="D101" s="16" t="s">
        <v>70</v>
      </c>
      <c r="E101" s="16" t="s">
        <v>70</v>
      </c>
      <c r="F101" s="16" t="s">
        <v>70</v>
      </c>
      <c r="G101" s="16" t="s">
        <v>70</v>
      </c>
      <c r="H101" s="15" t="s">
        <v>70</v>
      </c>
      <c r="I101" s="15" t="s">
        <v>70</v>
      </c>
      <c r="J101" s="15"/>
      <c r="K101" s="16" t="s">
        <v>70</v>
      </c>
      <c r="L101" s="16" t="s">
        <v>124</v>
      </c>
      <c r="M101" s="15" t="s">
        <v>70</v>
      </c>
      <c r="N101" s="39" t="s">
        <v>71</v>
      </c>
      <c r="O101" s="15"/>
      <c r="P101" s="16" t="s">
        <v>70</v>
      </c>
      <c r="Q101" s="16" t="s">
        <v>70</v>
      </c>
      <c r="R101" s="16" t="s">
        <v>72</v>
      </c>
      <c r="S101" s="15" t="s">
        <v>70</v>
      </c>
      <c r="T101" s="15"/>
      <c r="U101" s="22" t="s">
        <v>70</v>
      </c>
      <c r="V101" s="15"/>
      <c r="W101" s="22" t="s">
        <v>70</v>
      </c>
      <c r="X101" s="22" t="s">
        <v>70</v>
      </c>
      <c r="Y101" s="15"/>
      <c r="Z101" s="16" t="s">
        <v>70</v>
      </c>
      <c r="AA101" s="22" t="s">
        <v>70</v>
      </c>
      <c r="AB101" s="16" t="s">
        <v>70</v>
      </c>
      <c r="AC101" s="16" t="s">
        <v>70</v>
      </c>
      <c r="AD101" s="16" t="s">
        <v>70</v>
      </c>
      <c r="AE101" s="15"/>
      <c r="AF101" s="23" t="s">
        <v>70</v>
      </c>
      <c r="AG101" s="23" t="s">
        <v>70</v>
      </c>
      <c r="AH101" s="23" t="s">
        <v>70</v>
      </c>
      <c r="AI101" s="23" t="s">
        <v>70</v>
      </c>
      <c r="AJ101" s="15"/>
      <c r="AK101" s="23" t="s">
        <v>70</v>
      </c>
      <c r="AL101" s="23" t="s">
        <v>70</v>
      </c>
      <c r="AM101" s="22" t="s">
        <v>70</v>
      </c>
      <c r="AN101" s="15"/>
      <c r="AO101" s="39" t="s">
        <v>71</v>
      </c>
      <c r="AP101" s="15"/>
      <c r="AQ101" s="15"/>
      <c r="AR101" s="15"/>
      <c r="AS101" s="15"/>
      <c r="AT101" s="16" t="s">
        <v>70</v>
      </c>
      <c r="AU101" s="16" t="s">
        <v>70</v>
      </c>
      <c r="AV101" s="16"/>
      <c r="AW101" s="16" t="s">
        <v>70</v>
      </c>
      <c r="AX101" s="16" t="s">
        <v>5</v>
      </c>
      <c r="AY101" s="16" t="s">
        <v>70</v>
      </c>
      <c r="AZ101" s="16" t="s">
        <v>70</v>
      </c>
      <c r="BA101" s="16" t="s">
        <v>70</v>
      </c>
      <c r="BB101" s="16" t="s">
        <v>5</v>
      </c>
      <c r="BC101" s="16" t="s">
        <v>70</v>
      </c>
      <c r="BD101" s="39" t="s">
        <v>71</v>
      </c>
    </row>
    <row r="102" spans="1:56" x14ac:dyDescent="0.25">
      <c r="A102" s="10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row>
    <row r="103" spans="1:56" x14ac:dyDescent="0.25">
      <c r="A103" s="88" t="s">
        <v>129</v>
      </c>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v>49667</v>
      </c>
      <c r="AN103" s="17"/>
      <c r="AO103" s="17"/>
      <c r="AP103" s="17"/>
      <c r="AQ103" s="17"/>
      <c r="AR103" s="17"/>
      <c r="AS103" s="17"/>
      <c r="AT103" s="17"/>
      <c r="AU103" s="17"/>
      <c r="AV103" s="17"/>
      <c r="AW103" s="17"/>
      <c r="AX103" s="17"/>
      <c r="AY103" s="17"/>
      <c r="AZ103" s="17"/>
      <c r="BA103" s="17"/>
      <c r="BB103" s="17"/>
      <c r="BC103" s="17"/>
      <c r="BD103" s="17"/>
    </row>
    <row r="104" spans="1:56" x14ac:dyDescent="0.25">
      <c r="A104" s="81" t="s">
        <v>302</v>
      </c>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7"/>
      <c r="BA104" s="17"/>
      <c r="BB104" s="17"/>
      <c r="BC104" s="17"/>
      <c r="BD104" s="17"/>
    </row>
    <row r="105" spans="1:56" x14ac:dyDescent="0.25">
      <c r="A105" s="88" t="s">
        <v>130</v>
      </c>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v>200000</v>
      </c>
      <c r="AU105" s="17">
        <v>193360</v>
      </c>
      <c r="AV105" s="17"/>
      <c r="AW105" s="17"/>
      <c r="AX105" s="17"/>
      <c r="AY105" s="17">
        <v>250000</v>
      </c>
      <c r="AZ105" s="17">
        <v>200000</v>
      </c>
      <c r="BA105" s="17">
        <v>200000</v>
      </c>
      <c r="BB105" s="17"/>
      <c r="BC105" s="17">
        <v>200000</v>
      </c>
      <c r="BD105" s="17">
        <v>200000</v>
      </c>
    </row>
    <row r="106" spans="1:56" x14ac:dyDescent="0.25">
      <c r="A106" s="88" t="s">
        <v>468</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v>120000</v>
      </c>
      <c r="BA106" s="17">
        <v>300000</v>
      </c>
      <c r="BB106" s="17"/>
      <c r="BC106" s="17">
        <v>400000</v>
      </c>
      <c r="BD106" s="17"/>
    </row>
    <row r="107" spans="1:56" x14ac:dyDescent="0.25">
      <c r="A107" s="88" t="s">
        <v>467</v>
      </c>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v>210000</v>
      </c>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row>
    <row r="108" spans="1:56" x14ac:dyDescent="0.25">
      <c r="A108" s="88" t="s">
        <v>305</v>
      </c>
      <c r="B108" s="17"/>
      <c r="C108" s="17"/>
      <c r="D108" s="17"/>
      <c r="E108" s="17"/>
      <c r="F108" s="17"/>
      <c r="G108" s="17"/>
      <c r="H108" s="17"/>
      <c r="I108" s="17"/>
      <c r="J108" s="17"/>
      <c r="K108" s="17"/>
      <c r="L108" s="17"/>
      <c r="M108" s="17"/>
      <c r="N108" s="17"/>
      <c r="O108" s="17"/>
      <c r="P108" s="17"/>
      <c r="Q108" s="17">
        <v>20000</v>
      </c>
      <c r="R108" s="17">
        <f>(Q108/15)*12</f>
        <v>16000</v>
      </c>
      <c r="S108" s="17">
        <v>20000</v>
      </c>
      <c r="T108" s="17"/>
      <c r="U108" s="17"/>
      <c r="V108" s="17"/>
      <c r="W108" s="17"/>
      <c r="X108" s="17">
        <v>60000</v>
      </c>
      <c r="Y108" s="17"/>
      <c r="Z108" s="17">
        <v>60000</v>
      </c>
      <c r="AA108" s="17">
        <v>60000</v>
      </c>
      <c r="AB108" s="17"/>
      <c r="AC108" s="17">
        <v>100000</v>
      </c>
      <c r="AD108" s="17">
        <v>100000</v>
      </c>
      <c r="AE108" s="17"/>
      <c r="AF108" s="17">
        <v>100000</v>
      </c>
      <c r="AG108" s="17">
        <v>100000</v>
      </c>
      <c r="AH108" s="17">
        <v>100000</v>
      </c>
      <c r="AI108" s="17">
        <v>100000</v>
      </c>
      <c r="AJ108" s="17"/>
      <c r="AK108" s="17">
        <v>95480</v>
      </c>
      <c r="AL108" s="17">
        <v>70582</v>
      </c>
      <c r="AM108" s="17">
        <v>266560</v>
      </c>
      <c r="AN108" s="17"/>
      <c r="AO108" s="17">
        <v>240000</v>
      </c>
      <c r="AP108" s="17"/>
      <c r="AQ108" s="17"/>
      <c r="AR108" s="17"/>
      <c r="AS108" s="17"/>
      <c r="AT108" s="17">
        <v>400000</v>
      </c>
      <c r="AU108" s="17">
        <v>400000</v>
      </c>
      <c r="AV108" s="17"/>
      <c r="AW108" s="17"/>
      <c r="AX108" s="17"/>
      <c r="AY108" s="17">
        <v>500000</v>
      </c>
      <c r="AZ108" s="17">
        <v>412000</v>
      </c>
      <c r="BA108" s="17">
        <v>400000</v>
      </c>
      <c r="BB108" s="17"/>
      <c r="BC108" s="17">
        <f>400000+55200+1800</f>
        <v>457000</v>
      </c>
      <c r="BD108" s="17">
        <v>400000</v>
      </c>
    </row>
    <row r="109" spans="1:56" x14ac:dyDescent="0.25">
      <c r="A109" s="88" t="s">
        <v>131</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v>1930909</v>
      </c>
      <c r="AX109" s="17"/>
      <c r="AY109" s="17"/>
      <c r="AZ109" s="17"/>
      <c r="BA109" s="17">
        <v>109640</v>
      </c>
      <c r="BB109" s="17"/>
      <c r="BC109" s="17"/>
      <c r="BD109" s="17"/>
    </row>
    <row r="110" spans="1:56" x14ac:dyDescent="0.25">
      <c r="A110" s="75" t="s">
        <v>466</v>
      </c>
      <c r="B110" s="17">
        <f>3000+3000+3000+3000</f>
        <v>12000</v>
      </c>
      <c r="C110" s="17">
        <f>3000+3000+3000+3000</f>
        <v>12000</v>
      </c>
      <c r="D110" s="17">
        <f>3000+3000+3000+3000</f>
        <v>12000</v>
      </c>
      <c r="E110" s="17">
        <f>3000+3000+3000+3000</f>
        <v>12000</v>
      </c>
      <c r="F110" s="17">
        <f>3000+3000+3000+3000</f>
        <v>12000</v>
      </c>
      <c r="G110" s="17">
        <v>12000</v>
      </c>
      <c r="H110" s="17">
        <v>12000</v>
      </c>
      <c r="I110" s="17">
        <v>12000</v>
      </c>
      <c r="J110" s="17"/>
      <c r="K110" s="17">
        <v>12000</v>
      </c>
      <c r="L110" s="17"/>
      <c r="M110" s="17"/>
      <c r="N110" s="17">
        <v>3000</v>
      </c>
      <c r="O110" s="17"/>
      <c r="P110" s="17">
        <v>12000</v>
      </c>
      <c r="Q110" s="17">
        <v>5000</v>
      </c>
      <c r="R110" s="17">
        <f>(Q110/15)*12</f>
        <v>4000</v>
      </c>
      <c r="S110" s="17">
        <v>12000</v>
      </c>
      <c r="T110" s="17"/>
      <c r="U110" s="17">
        <v>9000</v>
      </c>
      <c r="V110" s="17"/>
      <c r="W110" s="17">
        <v>9000</v>
      </c>
      <c r="X110" s="17">
        <v>30000</v>
      </c>
      <c r="Y110" s="17"/>
      <c r="Z110" s="17">
        <v>30000</v>
      </c>
      <c r="AA110" s="17">
        <v>30000</v>
      </c>
      <c r="AB110" s="17"/>
      <c r="AC110" s="17">
        <v>40000</v>
      </c>
      <c r="AD110" s="17">
        <v>40000</v>
      </c>
      <c r="AE110" s="17"/>
      <c r="AF110" s="17"/>
      <c r="AG110" s="17"/>
      <c r="AH110" s="17">
        <v>40000</v>
      </c>
      <c r="AI110" s="17">
        <v>40000</v>
      </c>
      <c r="AJ110" s="17"/>
      <c r="AK110" s="17">
        <v>30000</v>
      </c>
      <c r="AL110" s="17">
        <v>30000</v>
      </c>
      <c r="AM110" s="17">
        <v>100000</v>
      </c>
      <c r="AN110" s="17"/>
      <c r="AO110" s="17">
        <v>120000</v>
      </c>
      <c r="AP110" s="17"/>
      <c r="AQ110" s="17"/>
      <c r="AR110" s="17"/>
      <c r="AS110" s="17"/>
      <c r="AT110" s="17">
        <v>120000</v>
      </c>
      <c r="AU110" s="17">
        <v>116337</v>
      </c>
      <c r="AV110" s="17"/>
      <c r="AW110" s="17"/>
      <c r="AX110" s="17"/>
      <c r="AY110" s="17">
        <v>187500</v>
      </c>
      <c r="AZ110" s="17">
        <v>150000</v>
      </c>
      <c r="BA110" s="17">
        <v>187500</v>
      </c>
      <c r="BB110" s="17"/>
      <c r="BC110" s="17">
        <v>200000</v>
      </c>
      <c r="BD110" s="17">
        <v>200000</v>
      </c>
    </row>
    <row r="111" spans="1:56" x14ac:dyDescent="0.25">
      <c r="A111" s="88" t="s">
        <v>469</v>
      </c>
      <c r="B111" s="17">
        <v>7828</v>
      </c>
      <c r="C111" s="17">
        <v>9711</v>
      </c>
      <c r="D111" s="17">
        <v>2002</v>
      </c>
      <c r="E111" s="17">
        <v>6780</v>
      </c>
      <c r="F111" s="17"/>
      <c r="G111" s="17">
        <v>26364</v>
      </c>
      <c r="H111" s="17">
        <v>17779</v>
      </c>
      <c r="I111" s="17">
        <v>2706</v>
      </c>
      <c r="J111" s="17"/>
      <c r="K111" s="17">
        <v>7140</v>
      </c>
      <c r="L111" s="17"/>
      <c r="M111" s="17">
        <v>20400</v>
      </c>
      <c r="N111" s="17">
        <v>14039</v>
      </c>
      <c r="O111" s="17"/>
      <c r="P111" s="17">
        <v>11946</v>
      </c>
      <c r="Q111" s="17">
        <f>21013+8568</f>
        <v>29581</v>
      </c>
      <c r="R111" s="17">
        <f>(Q111/15)*12</f>
        <v>23664.799999999999</v>
      </c>
      <c r="S111" s="17"/>
      <c r="T111" s="17"/>
      <c r="U111" s="17">
        <v>8957</v>
      </c>
      <c r="V111" s="17"/>
      <c r="W111" s="17">
        <v>17282</v>
      </c>
      <c r="X111" s="17">
        <v>36244</v>
      </c>
      <c r="Y111" s="17"/>
      <c r="Z111" s="17">
        <v>179253</v>
      </c>
      <c r="AA111" s="17">
        <v>124800</v>
      </c>
      <c r="AB111" s="17">
        <v>154159</v>
      </c>
      <c r="AC111" s="17">
        <v>84792</v>
      </c>
      <c r="AD111" s="17">
        <v>57072</v>
      </c>
      <c r="AE111" s="17"/>
      <c r="AF111" s="17">
        <v>72024</v>
      </c>
      <c r="AG111" s="17">
        <v>101472</v>
      </c>
      <c r="AH111" s="17">
        <v>157134</v>
      </c>
      <c r="AI111" s="17">
        <v>192867</v>
      </c>
      <c r="AJ111" s="17"/>
      <c r="AK111" s="17">
        <v>109907</v>
      </c>
      <c r="AL111" s="17">
        <v>239375</v>
      </c>
      <c r="AM111" s="17">
        <v>262581</v>
      </c>
      <c r="AN111" s="17"/>
      <c r="AO111" s="17">
        <v>169531</v>
      </c>
      <c r="AP111" s="17"/>
      <c r="AQ111" s="17"/>
      <c r="AR111" s="17"/>
      <c r="AS111" s="17"/>
      <c r="AT111" s="17">
        <v>670970</v>
      </c>
      <c r="AU111" s="17">
        <v>511804</v>
      </c>
      <c r="AV111" s="17"/>
      <c r="AW111" s="17"/>
      <c r="AX111" s="17"/>
      <c r="AY111" s="17">
        <v>589361</v>
      </c>
      <c r="AZ111" s="17">
        <v>678702</v>
      </c>
      <c r="BA111" s="17">
        <v>1023752</v>
      </c>
      <c r="BB111" s="17"/>
      <c r="BC111" s="17">
        <v>1162980</v>
      </c>
      <c r="BD111" s="17">
        <v>1238484</v>
      </c>
    </row>
    <row r="112" spans="1:56" x14ac:dyDescent="0.25">
      <c r="A112" s="88" t="s">
        <v>470</v>
      </c>
      <c r="B112" s="17">
        <f>15000+15000+15000+15000</f>
        <v>60000</v>
      </c>
      <c r="C112" s="17">
        <f>15000+15000+15000+15000</f>
        <v>60000</v>
      </c>
      <c r="D112" s="17">
        <f>15000+15000+15000+15000</f>
        <v>60000</v>
      </c>
      <c r="E112" s="17">
        <f>15000+15000+15000+15000</f>
        <v>60000</v>
      </c>
      <c r="F112" s="17">
        <f>15000+15000+15000+15000</f>
        <v>60000</v>
      </c>
      <c r="G112" s="17">
        <v>60000</v>
      </c>
      <c r="H112" s="17">
        <v>60000</v>
      </c>
      <c r="I112" s="17">
        <v>60000</v>
      </c>
      <c r="J112" s="17"/>
      <c r="K112" s="17">
        <v>60000</v>
      </c>
      <c r="L112" s="17"/>
      <c r="M112" s="17">
        <v>60000</v>
      </c>
      <c r="N112" s="17">
        <v>45000</v>
      </c>
      <c r="O112" s="17"/>
      <c r="P112" s="17">
        <v>80000</v>
      </c>
      <c r="Q112" s="17">
        <v>75000</v>
      </c>
      <c r="R112" s="17">
        <f>(Q112/15)*12</f>
        <v>60000</v>
      </c>
      <c r="S112" s="17">
        <v>80000</v>
      </c>
      <c r="T112" s="17"/>
      <c r="U112" s="17">
        <v>45000</v>
      </c>
      <c r="V112" s="17"/>
      <c r="W112" s="17">
        <v>45000</v>
      </c>
      <c r="X112" s="17">
        <v>120000</v>
      </c>
      <c r="Y112" s="17"/>
      <c r="Z112" s="17">
        <v>120000</v>
      </c>
      <c r="AA112" s="17">
        <v>120000</v>
      </c>
      <c r="AB112" s="17"/>
      <c r="AC112" s="17">
        <v>140000</v>
      </c>
      <c r="AD112" s="17">
        <v>140000</v>
      </c>
      <c r="AE112" s="17"/>
      <c r="AF112" s="17">
        <v>120000</v>
      </c>
      <c r="AG112" s="17">
        <v>140000</v>
      </c>
      <c r="AH112" s="17">
        <v>140000</v>
      </c>
      <c r="AI112" s="17">
        <v>140000</v>
      </c>
      <c r="AJ112" s="17"/>
      <c r="AK112" s="17">
        <v>128322</v>
      </c>
      <c r="AL112" s="17">
        <v>128332</v>
      </c>
      <c r="AM112" s="17">
        <v>215000</v>
      </c>
      <c r="AN112" s="17"/>
      <c r="AO112" s="17">
        <v>240000</v>
      </c>
      <c r="AP112" s="17"/>
      <c r="AQ112" s="17"/>
      <c r="AR112" s="17"/>
      <c r="AS112" s="17"/>
      <c r="AT112" s="17">
        <v>240000</v>
      </c>
      <c r="AU112" s="17">
        <v>240000</v>
      </c>
      <c r="AV112" s="17"/>
      <c r="AW112" s="17"/>
      <c r="AX112" s="17"/>
      <c r="AY112" s="17">
        <v>450000</v>
      </c>
      <c r="AZ112" s="17">
        <v>371000</v>
      </c>
      <c r="BA112" s="17">
        <v>360000</v>
      </c>
      <c r="BB112" s="17"/>
      <c r="BC112" s="17">
        <v>360000</v>
      </c>
      <c r="BD112" s="17">
        <v>360000</v>
      </c>
    </row>
    <row r="113" spans="1:57" x14ac:dyDescent="0.25">
      <c r="A113" s="81"/>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row>
    <row r="114" spans="1:57" x14ac:dyDescent="0.25">
      <c r="A114" s="81" t="s">
        <v>303</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row>
    <row r="115" spans="1:57" x14ac:dyDescent="0.25">
      <c r="A115" s="88" t="s">
        <v>151</v>
      </c>
      <c r="B115" s="17">
        <f>4320+3660</f>
        <v>7980</v>
      </c>
      <c r="C115" s="17">
        <v>35240</v>
      </c>
      <c r="D115" s="17">
        <v>12800</v>
      </c>
      <c r="E115" s="17">
        <v>5920</v>
      </c>
      <c r="F115" s="17"/>
      <c r="G115" s="17"/>
      <c r="H115" s="17"/>
      <c r="I115" s="17"/>
      <c r="J115" s="17"/>
      <c r="K115" s="17"/>
      <c r="L115" s="17"/>
      <c r="M115" s="17"/>
      <c r="N115" s="17"/>
      <c r="O115" s="17"/>
      <c r="P115" s="17"/>
      <c r="Q115" s="17"/>
      <c r="R115" s="17"/>
      <c r="S115" s="17"/>
      <c r="T115" s="17"/>
      <c r="U115" s="17"/>
      <c r="V115" s="17"/>
      <c r="W115" s="17"/>
      <c r="X115" s="17"/>
      <c r="Y115" s="17"/>
      <c r="Z115" s="17"/>
      <c r="AA115" s="17">
        <v>36340</v>
      </c>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row>
    <row r="116" spans="1:57" x14ac:dyDescent="0.25">
      <c r="A116" s="88" t="s">
        <v>152</v>
      </c>
      <c r="B116" s="17"/>
      <c r="C116" s="17"/>
      <c r="D116" s="17"/>
      <c r="E116" s="17"/>
      <c r="F116" s="17"/>
      <c r="G116" s="17"/>
      <c r="H116" s="17"/>
      <c r="I116" s="17"/>
      <c r="J116" s="17"/>
      <c r="K116" s="17"/>
      <c r="L116" s="17"/>
      <c r="M116" s="17"/>
      <c r="N116" s="17"/>
      <c r="O116" s="17"/>
      <c r="P116" s="17"/>
      <c r="Q116" s="17"/>
      <c r="R116" s="17"/>
      <c r="S116" s="17">
        <v>4960</v>
      </c>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row>
    <row r="117" spans="1:57" x14ac:dyDescent="0.25">
      <c r="A117" s="88" t="s">
        <v>153</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v>303700</v>
      </c>
      <c r="AU117" s="17">
        <v>50500</v>
      </c>
      <c r="AV117" s="17"/>
      <c r="AW117" s="17">
        <v>862290</v>
      </c>
      <c r="AX117" s="17"/>
      <c r="AY117" s="17">
        <v>464220</v>
      </c>
      <c r="AZ117" s="17">
        <v>1892810</v>
      </c>
      <c r="BA117" s="17">
        <v>1540190</v>
      </c>
      <c r="BB117" s="17"/>
      <c r="BC117" s="17">
        <v>992637</v>
      </c>
      <c r="BD117" s="17">
        <v>8028327</v>
      </c>
    </row>
    <row r="118" spans="1:57" x14ac:dyDescent="0.25">
      <c r="A118" s="88" t="s">
        <v>1045</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v>365240</v>
      </c>
      <c r="AU118" s="17">
        <v>109700</v>
      </c>
      <c r="AV118" s="17"/>
      <c r="AW118" s="17">
        <v>276760</v>
      </c>
      <c r="AX118" s="17"/>
      <c r="AY118" s="17">
        <v>126000</v>
      </c>
      <c r="AZ118" s="17"/>
      <c r="BA118" s="17"/>
      <c r="BB118" s="17"/>
      <c r="BC118" s="17"/>
      <c r="BD118" s="17"/>
    </row>
    <row r="119" spans="1:57" x14ac:dyDescent="0.25">
      <c r="A119" s="43" t="s">
        <v>870</v>
      </c>
      <c r="B119" s="17"/>
      <c r="C119" s="17"/>
      <c r="D119" s="17"/>
      <c r="E119" s="17"/>
      <c r="F119" s="17"/>
      <c r="G119" s="17"/>
      <c r="H119" s="17"/>
      <c r="I119" s="17"/>
      <c r="J119" s="17"/>
      <c r="K119" s="17"/>
      <c r="L119" s="17"/>
      <c r="M119" s="17"/>
      <c r="N119" s="17">
        <f>8800+20580</f>
        <v>29380</v>
      </c>
      <c r="O119" s="17"/>
      <c r="P119" s="17"/>
      <c r="Q119" s="17"/>
      <c r="R119" s="17"/>
      <c r="S119" s="17"/>
      <c r="T119" s="17"/>
      <c r="U119" s="17">
        <v>4000</v>
      </c>
      <c r="V119" s="17"/>
      <c r="W119" s="17"/>
      <c r="X119" s="17"/>
      <c r="Y119" s="17"/>
      <c r="Z119" s="17"/>
      <c r="AA119" s="17">
        <v>16000</v>
      </c>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v>135800</v>
      </c>
      <c r="BB119" s="17"/>
      <c r="BC119" s="17"/>
      <c r="BD119" s="17"/>
    </row>
    <row r="120" spans="1:57" x14ac:dyDescent="0.25">
      <c r="A120" s="88" t="s">
        <v>174</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v>842680</v>
      </c>
      <c r="BB120" s="17"/>
      <c r="BC120" s="17">
        <v>1705071</v>
      </c>
      <c r="BD120" s="17">
        <v>1700000</v>
      </c>
    </row>
    <row r="121" spans="1:57" x14ac:dyDescent="0.25">
      <c r="A121" s="88" t="s">
        <v>169</v>
      </c>
      <c r="B121" s="17"/>
      <c r="C121" s="17"/>
      <c r="D121" s="17"/>
      <c r="E121" s="17"/>
      <c r="F121" s="17"/>
      <c r="G121" s="17"/>
      <c r="H121" s="17"/>
      <c r="I121" s="17"/>
      <c r="J121" s="17"/>
      <c r="K121" s="17"/>
      <c r="L121" s="17"/>
      <c r="M121" s="17"/>
      <c r="N121" s="17"/>
      <c r="O121" s="17"/>
      <c r="P121" s="17"/>
      <c r="Q121" s="17"/>
      <c r="R121" s="17"/>
      <c r="S121" s="17">
        <v>7520</v>
      </c>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row>
    <row r="122" spans="1:57" x14ac:dyDescent="0.25">
      <c r="A122" s="88" t="s">
        <v>475</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v>204076</v>
      </c>
      <c r="Y122" s="17"/>
      <c r="Z122" s="17">
        <v>1206877</v>
      </c>
      <c r="AA122" s="17">
        <v>515741</v>
      </c>
      <c r="AB122" s="17">
        <v>100280</v>
      </c>
      <c r="AC122" s="17"/>
      <c r="AD122" s="17">
        <v>107360</v>
      </c>
      <c r="AE122" s="17"/>
      <c r="AF122" s="17">
        <v>1053337</v>
      </c>
      <c r="AG122" s="17">
        <v>782060</v>
      </c>
      <c r="AH122" s="17">
        <v>659169</v>
      </c>
      <c r="AI122" s="17">
        <v>902999</v>
      </c>
      <c r="AJ122" s="17"/>
      <c r="AK122" s="17">
        <v>87780</v>
      </c>
      <c r="AL122" s="17">
        <v>252800</v>
      </c>
      <c r="AM122" s="17">
        <v>528660</v>
      </c>
      <c r="AN122" s="17"/>
      <c r="AO122" s="17">
        <v>100000</v>
      </c>
      <c r="AP122" s="17"/>
      <c r="AQ122" s="17"/>
      <c r="AR122" s="17"/>
      <c r="AS122" s="17"/>
      <c r="AT122" s="17"/>
      <c r="AU122" s="17"/>
      <c r="AV122" s="17"/>
      <c r="AW122" s="17"/>
      <c r="AX122" s="17"/>
      <c r="AY122" s="17"/>
      <c r="AZ122" s="17">
        <v>200000</v>
      </c>
      <c r="BA122" s="17">
        <v>222500</v>
      </c>
      <c r="BB122" s="17"/>
      <c r="BC122" s="17">
        <v>5363750</v>
      </c>
      <c r="BD122" s="17"/>
    </row>
    <row r="123" spans="1:57" x14ac:dyDescent="0.25">
      <c r="A123" s="88"/>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row>
    <row r="124" spans="1:57" x14ac:dyDescent="0.25">
      <c r="A124" s="88" t="s">
        <v>690</v>
      </c>
      <c r="B124" s="17"/>
      <c r="C124" s="17"/>
      <c r="D124" s="17"/>
      <c r="E124" s="17"/>
      <c r="F124" s="17"/>
      <c r="G124" s="17"/>
      <c r="H124" s="17"/>
      <c r="I124" s="17"/>
      <c r="J124" s="17"/>
      <c r="K124" s="17"/>
      <c r="L124" s="17"/>
      <c r="M124" s="17"/>
      <c r="N124" s="17"/>
      <c r="O124" s="17"/>
      <c r="P124" s="17">
        <v>2880</v>
      </c>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row>
    <row r="125" spans="1:57" x14ac:dyDescent="0.25">
      <c r="A125" s="88" t="s">
        <v>154</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row>
    <row r="126" spans="1:57" x14ac:dyDescent="0.25">
      <c r="A126" s="88" t="s">
        <v>176</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row>
    <row r="127" spans="1:57" x14ac:dyDescent="0.25">
      <c r="A127" s="88" t="s">
        <v>155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v>86760</v>
      </c>
      <c r="AV127" s="17"/>
      <c r="AW127" s="17"/>
      <c r="AX127" s="17"/>
      <c r="AY127" s="17"/>
      <c r="AZ127" s="17"/>
      <c r="BA127" s="17"/>
      <c r="BB127" s="17"/>
      <c r="BC127" s="17"/>
      <c r="BD127" s="17"/>
    </row>
    <row r="128" spans="1:57" x14ac:dyDescent="0.25">
      <c r="A128" s="88" t="s">
        <v>156</v>
      </c>
      <c r="B128" s="17"/>
      <c r="C128" s="17"/>
      <c r="D128" s="17"/>
      <c r="E128" s="17"/>
      <c r="F128" s="17"/>
      <c r="G128" s="17"/>
      <c r="H128" s="17"/>
      <c r="I128" s="17"/>
      <c r="J128" s="17"/>
      <c r="K128" s="17"/>
      <c r="L128" s="17"/>
      <c r="M128" s="17">
        <v>75820</v>
      </c>
      <c r="N128" s="17">
        <v>23000</v>
      </c>
      <c r="O128" s="17"/>
      <c r="P128" s="17"/>
      <c r="Q128" s="17">
        <v>6000</v>
      </c>
      <c r="R128" s="17">
        <f>(Q128/15)*12</f>
        <v>4800</v>
      </c>
      <c r="S128" s="17">
        <v>16730</v>
      </c>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row>
    <row r="129" spans="1:56" x14ac:dyDescent="0.25">
      <c r="A129" s="88"/>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row>
    <row r="130" spans="1:56" x14ac:dyDescent="0.25">
      <c r="A130" s="88" t="s">
        <v>897</v>
      </c>
      <c r="B130" s="17"/>
      <c r="C130" s="17"/>
      <c r="D130" s="17"/>
      <c r="E130" s="17"/>
      <c r="F130" s="17"/>
      <c r="G130" s="17"/>
      <c r="H130" s="17"/>
      <c r="I130" s="17"/>
      <c r="J130" s="17"/>
      <c r="K130" s="17"/>
      <c r="L130" s="17"/>
      <c r="M130" s="17"/>
      <c r="N130" s="17"/>
      <c r="O130" s="17"/>
      <c r="P130" s="17"/>
      <c r="Q130" s="17"/>
      <c r="R130" s="17"/>
      <c r="S130" s="17"/>
      <c r="T130" s="17"/>
      <c r="U130" s="17"/>
      <c r="V130" s="17"/>
      <c r="W130" s="17"/>
      <c r="X130" s="17">
        <v>8500</v>
      </c>
      <c r="Y130" s="17"/>
      <c r="Z130" s="17"/>
      <c r="AA130" s="17">
        <v>130000</v>
      </c>
      <c r="AB130" s="17"/>
      <c r="AC130" s="17"/>
      <c r="AD130" s="17"/>
      <c r="AE130" s="17"/>
      <c r="AF130" s="17"/>
      <c r="AG130" s="17"/>
      <c r="AH130" s="17"/>
      <c r="AI130" s="17"/>
      <c r="AJ130" s="17"/>
      <c r="AK130" s="17"/>
      <c r="AL130" s="17"/>
      <c r="AM130" s="17">
        <v>12150</v>
      </c>
      <c r="AN130" s="17"/>
      <c r="AO130" s="17"/>
      <c r="AP130" s="17"/>
      <c r="AQ130" s="17"/>
      <c r="AR130" s="17"/>
      <c r="AS130" s="17"/>
      <c r="AT130" s="17"/>
      <c r="AU130" s="17">
        <v>338370</v>
      </c>
      <c r="AV130" s="17"/>
      <c r="AW130" s="17">
        <v>284120</v>
      </c>
      <c r="AX130" s="17"/>
      <c r="AY130" s="17">
        <v>650300</v>
      </c>
      <c r="AZ130" s="17">
        <v>1057500</v>
      </c>
      <c r="BA130" s="17">
        <v>554140</v>
      </c>
      <c r="BB130" s="17"/>
      <c r="BC130" s="17"/>
      <c r="BD130" s="17"/>
    </row>
    <row r="131" spans="1:56" x14ac:dyDescent="0.25">
      <c r="A131" s="88" t="s">
        <v>157</v>
      </c>
      <c r="B131" s="17">
        <v>18800</v>
      </c>
      <c r="C131" s="17"/>
      <c r="D131" s="17"/>
      <c r="E131" s="17"/>
      <c r="F131" s="17"/>
      <c r="G131" s="17"/>
      <c r="H131" s="17"/>
      <c r="I131" s="17"/>
      <c r="J131" s="17"/>
      <c r="K131" s="17"/>
      <c r="L131" s="17"/>
      <c r="M131" s="17"/>
      <c r="N131" s="17"/>
      <c r="O131" s="17"/>
      <c r="P131" s="17">
        <v>56912</v>
      </c>
      <c r="Q131" s="17">
        <f>143000+84320</f>
        <v>227320</v>
      </c>
      <c r="R131" s="17">
        <f>(Q131/15)*12</f>
        <v>181856</v>
      </c>
      <c r="S131" s="17"/>
      <c r="T131" s="17"/>
      <c r="U131" s="17"/>
      <c r="V131" s="17"/>
      <c r="W131" s="17"/>
      <c r="X131" s="17"/>
      <c r="Y131" s="17"/>
      <c r="Z131" s="17"/>
      <c r="AA131" s="17">
        <v>135200</v>
      </c>
      <c r="AB131" s="17"/>
      <c r="AC131" s="17"/>
      <c r="AD131" s="17"/>
      <c r="AE131" s="17"/>
      <c r="AF131" s="17"/>
      <c r="AG131" s="17"/>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row>
    <row r="132" spans="1:56" x14ac:dyDescent="0.25">
      <c r="A132" s="88" t="s">
        <v>486</v>
      </c>
      <c r="B132" s="17"/>
      <c r="C132" s="17"/>
      <c r="D132" s="17"/>
      <c r="E132" s="17"/>
      <c r="F132" s="17"/>
      <c r="G132" s="17"/>
      <c r="H132" s="17">
        <f>35991+6900+27592</f>
        <v>70483</v>
      </c>
      <c r="I132" s="17">
        <v>87702</v>
      </c>
      <c r="J132" s="17"/>
      <c r="K132" s="17">
        <v>48119</v>
      </c>
      <c r="L132" s="17"/>
      <c r="M132" s="17">
        <v>86948</v>
      </c>
      <c r="N132" s="17">
        <f>99076+17150</f>
        <v>116226</v>
      </c>
      <c r="O132" s="17"/>
      <c r="P132" s="17"/>
      <c r="Q132" s="17"/>
      <c r="R132" s="17"/>
      <c r="S132" s="17"/>
      <c r="T132" s="17"/>
      <c r="U132" s="17"/>
      <c r="V132" s="17"/>
      <c r="W132" s="17"/>
      <c r="X132" s="17"/>
      <c r="Y132" s="17"/>
      <c r="Z132" s="17"/>
      <c r="AA132" s="17"/>
      <c r="AB132" s="17">
        <v>410369</v>
      </c>
      <c r="AC132" s="17"/>
      <c r="AD132" s="17">
        <v>67293</v>
      </c>
      <c r="AE132" s="17"/>
      <c r="AF132" s="17"/>
      <c r="AG132" s="17"/>
      <c r="AH132" s="17"/>
      <c r="AI132" s="17"/>
      <c r="AJ132" s="17"/>
      <c r="AK132" s="17"/>
      <c r="AL132" s="17"/>
      <c r="AM132" s="17"/>
      <c r="AN132" s="17"/>
      <c r="AO132" s="17"/>
      <c r="AP132" s="17"/>
      <c r="AQ132" s="17"/>
      <c r="AR132" s="17"/>
      <c r="AS132" s="17"/>
      <c r="AT132" s="17"/>
      <c r="AU132" s="17">
        <v>101080</v>
      </c>
      <c r="AV132" s="17"/>
      <c r="AW132" s="17"/>
      <c r="AX132" s="17"/>
      <c r="AY132" s="17"/>
      <c r="AZ132" s="17">
        <v>206210</v>
      </c>
      <c r="BA132" s="17"/>
      <c r="BB132" s="17"/>
      <c r="BC132" s="17"/>
      <c r="BD132" s="17"/>
    </row>
    <row r="133" spans="1:56" x14ac:dyDescent="0.25">
      <c r="A133" s="88" t="s">
        <v>170</v>
      </c>
      <c r="B133" s="17"/>
      <c r="C133" s="17"/>
      <c r="D133" s="17"/>
      <c r="E133" s="17"/>
      <c r="F133" s="17"/>
      <c r="G133" s="17"/>
      <c r="H133" s="17"/>
      <c r="I133" s="17">
        <v>23710</v>
      </c>
      <c r="J133" s="17"/>
      <c r="K133" s="17">
        <v>28560</v>
      </c>
      <c r="L133" s="17"/>
      <c r="M133" s="17"/>
      <c r="N133" s="17"/>
      <c r="O133" s="17"/>
      <c r="P133" s="17"/>
      <c r="Q133" s="17"/>
      <c r="R133" s="17"/>
      <c r="S133" s="17"/>
      <c r="T133" s="17"/>
      <c r="U133" s="17"/>
      <c r="V133" s="17"/>
      <c r="W133" s="17"/>
      <c r="X133" s="17"/>
      <c r="Y133" s="17"/>
      <c r="Z133" s="17"/>
      <c r="AA133" s="17">
        <v>16260</v>
      </c>
      <c r="AB133" s="17"/>
      <c r="AC133" s="17"/>
      <c r="AD133" s="17"/>
      <c r="AE133" s="17"/>
      <c r="AF133" s="17"/>
      <c r="AG133" s="17"/>
      <c r="AH133" s="17"/>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row>
    <row r="134" spans="1:56" x14ac:dyDescent="0.25">
      <c r="A134" s="88" t="s">
        <v>161</v>
      </c>
      <c r="B134" s="17"/>
      <c r="C134" s="17"/>
      <c r="D134" s="17"/>
      <c r="E134" s="17"/>
      <c r="F134" s="17"/>
      <c r="G134" s="17">
        <v>51200</v>
      </c>
      <c r="H134" s="17"/>
      <c r="I134" s="17"/>
      <c r="J134" s="17"/>
      <c r="K134" s="17"/>
      <c r="L134" s="17"/>
      <c r="M134" s="17"/>
      <c r="N134" s="17"/>
      <c r="O134" s="17"/>
      <c r="P134" s="17"/>
      <c r="Q134" s="17">
        <v>30670</v>
      </c>
      <c r="R134" s="17">
        <f>(Q134/15)*12</f>
        <v>24536</v>
      </c>
      <c r="S134" s="17">
        <v>115104</v>
      </c>
      <c r="T134" s="17"/>
      <c r="U134" s="17"/>
      <c r="V134" s="17"/>
      <c r="W134" s="17">
        <v>16092</v>
      </c>
      <c r="X134" s="17"/>
      <c r="Y134" s="17"/>
      <c r="Z134" s="17"/>
      <c r="AA134" s="17"/>
      <c r="AB134" s="17"/>
      <c r="AC134" s="17"/>
      <c r="AD134" s="17">
        <v>6160</v>
      </c>
      <c r="AE134" s="17"/>
      <c r="AF134" s="17"/>
      <c r="AG134" s="17"/>
      <c r="AH134" s="17"/>
      <c r="AI134" s="17">
        <v>79767</v>
      </c>
      <c r="AJ134" s="17"/>
      <c r="AK134" s="17"/>
      <c r="AL134" s="17">
        <v>10000</v>
      </c>
      <c r="AM134" s="17"/>
      <c r="AN134" s="17"/>
      <c r="AO134" s="17"/>
      <c r="AP134" s="17"/>
      <c r="AQ134" s="17"/>
      <c r="AR134" s="17"/>
      <c r="AS134" s="17"/>
      <c r="AT134" s="17"/>
      <c r="AU134" s="17"/>
      <c r="AV134" s="17"/>
      <c r="AW134" s="17"/>
      <c r="AX134" s="17"/>
      <c r="AY134" s="17"/>
      <c r="AZ134" s="17"/>
      <c r="BA134" s="17"/>
      <c r="BB134" s="17"/>
      <c r="BC134" s="17"/>
      <c r="BD134" s="17"/>
    </row>
    <row r="135" spans="1:56" x14ac:dyDescent="0.25">
      <c r="A135" s="75" t="s">
        <v>482</v>
      </c>
      <c r="B135" s="17"/>
      <c r="C135" s="17"/>
      <c r="D135" s="17"/>
      <c r="E135" s="17"/>
      <c r="F135" s="17"/>
      <c r="G135" s="17"/>
      <c r="H135" s="17"/>
      <c r="I135" s="17"/>
      <c r="J135" s="17"/>
      <c r="K135" s="17"/>
      <c r="L135" s="17"/>
      <c r="M135" s="17">
        <v>75543</v>
      </c>
      <c r="N135" s="17"/>
      <c r="O135" s="17"/>
      <c r="P135" s="17">
        <v>27200</v>
      </c>
      <c r="Q135" s="17"/>
      <c r="R135" s="17"/>
      <c r="S135" s="17"/>
      <c r="T135" s="17"/>
      <c r="U135" s="17">
        <v>42216</v>
      </c>
      <c r="V135" s="17"/>
      <c r="W135" s="17"/>
      <c r="X135" s="17">
        <v>20500</v>
      </c>
      <c r="Y135" s="17"/>
      <c r="Z135" s="17">
        <v>190120</v>
      </c>
      <c r="AA135" s="17">
        <v>289036</v>
      </c>
      <c r="AB135" s="17"/>
      <c r="AC135" s="17"/>
      <c r="AD135" s="17"/>
      <c r="AE135" s="17"/>
      <c r="AF135" s="17">
        <v>76710</v>
      </c>
      <c r="AG135" s="17">
        <v>66335</v>
      </c>
      <c r="AH135" s="17">
        <v>70000</v>
      </c>
      <c r="AI135" s="17"/>
      <c r="AJ135" s="17"/>
      <c r="AK135" s="17">
        <v>19840</v>
      </c>
      <c r="AL135" s="17"/>
      <c r="AM135" s="17">
        <v>20200</v>
      </c>
      <c r="AN135" s="17"/>
      <c r="AO135" s="17"/>
      <c r="AP135" s="17"/>
      <c r="AQ135" s="17"/>
      <c r="AR135" s="17"/>
      <c r="AS135" s="17"/>
      <c r="AT135" s="17">
        <v>29656</v>
      </c>
      <c r="AU135" s="17">
        <v>98220</v>
      </c>
      <c r="AV135" s="17"/>
      <c r="AW135" s="17">
        <v>34600</v>
      </c>
      <c r="AX135" s="17"/>
      <c r="AY135" s="17">
        <v>15800</v>
      </c>
      <c r="AZ135" s="17">
        <v>15660</v>
      </c>
      <c r="BA135" s="17">
        <v>29100</v>
      </c>
      <c r="BB135" s="17"/>
      <c r="BC135" s="17"/>
      <c r="BD135" s="17"/>
    </row>
    <row r="136" spans="1:56" x14ac:dyDescent="0.25">
      <c r="A136" s="88" t="s">
        <v>483</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v>67350</v>
      </c>
      <c r="AC136" s="17"/>
      <c r="AD136" s="17"/>
      <c r="AE136" s="17"/>
      <c r="AF136" s="17"/>
      <c r="AG136" s="17"/>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row>
    <row r="137" spans="1:56" x14ac:dyDescent="0.25">
      <c r="A137" s="88" t="s">
        <v>158</v>
      </c>
      <c r="B137" s="17">
        <v>320</v>
      </c>
      <c r="C137" s="17"/>
      <c r="D137" s="17"/>
      <c r="E137" s="17"/>
      <c r="F137" s="17"/>
      <c r="G137" s="17"/>
      <c r="H137" s="17"/>
      <c r="I137" s="17"/>
      <c r="J137" s="17"/>
      <c r="K137" s="17"/>
      <c r="L137" s="17"/>
      <c r="M137" s="17"/>
      <c r="N137" s="17">
        <v>8420</v>
      </c>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row>
    <row r="138" spans="1:56" x14ac:dyDescent="0.25">
      <c r="A138" s="88" t="s">
        <v>160</v>
      </c>
      <c r="B138" s="17"/>
      <c r="C138" s="17"/>
      <c r="D138" s="17"/>
      <c r="E138" s="17"/>
      <c r="F138" s="17"/>
      <c r="G138" s="17"/>
      <c r="H138" s="17"/>
      <c r="I138" s="17">
        <v>18400</v>
      </c>
      <c r="J138" s="17"/>
      <c r="K138" s="17"/>
      <c r="L138" s="17"/>
      <c r="M138" s="17"/>
      <c r="N138" s="17"/>
      <c r="O138" s="17"/>
      <c r="P138" s="17"/>
      <c r="Q138" s="17"/>
      <c r="R138" s="17"/>
      <c r="S138" s="17"/>
      <c r="T138" s="17"/>
      <c r="U138" s="17">
        <v>4080</v>
      </c>
      <c r="V138" s="17"/>
      <c r="W138" s="17"/>
      <c r="X138" s="17"/>
      <c r="Y138" s="17"/>
      <c r="Z138" s="17">
        <v>86490</v>
      </c>
      <c r="AA138" s="17"/>
      <c r="AB138" s="17"/>
      <c r="AC138" s="17"/>
      <c r="AD138" s="17">
        <v>24360</v>
      </c>
      <c r="AE138" s="17"/>
      <c r="AF138" s="17">
        <v>62900</v>
      </c>
      <c r="AG138" s="17">
        <v>48760</v>
      </c>
      <c r="AH138" s="17">
        <v>75000</v>
      </c>
      <c r="AI138" s="17">
        <v>77800</v>
      </c>
      <c r="AJ138" s="17"/>
      <c r="AK138" s="17">
        <v>135320</v>
      </c>
      <c r="AL138" s="17">
        <v>113170</v>
      </c>
      <c r="AM138" s="17">
        <v>30000</v>
      </c>
      <c r="AN138" s="17"/>
      <c r="AO138" s="17">
        <v>140000</v>
      </c>
      <c r="AP138" s="17"/>
      <c r="AQ138" s="17"/>
      <c r="AR138" s="17"/>
      <c r="AS138" s="17"/>
      <c r="AT138" s="17"/>
      <c r="AU138" s="17"/>
      <c r="AV138" s="17"/>
      <c r="AW138" s="17"/>
      <c r="AX138" s="17"/>
      <c r="AY138" s="17"/>
      <c r="AZ138" s="17"/>
      <c r="BA138" s="17"/>
      <c r="BB138" s="17"/>
      <c r="BC138" s="17">
        <v>303100</v>
      </c>
      <c r="BD138" s="17">
        <v>200000</v>
      </c>
    </row>
    <row r="139" spans="1:56" x14ac:dyDescent="0.25">
      <c r="A139" s="88" t="s">
        <v>159</v>
      </c>
      <c r="B139" s="17"/>
      <c r="C139" s="17"/>
      <c r="D139" s="17"/>
      <c r="E139" s="17"/>
      <c r="F139" s="17"/>
      <c r="G139" s="17"/>
      <c r="H139" s="17"/>
      <c r="I139" s="17"/>
      <c r="J139" s="17"/>
      <c r="K139" s="17">
        <v>1900</v>
      </c>
      <c r="L139" s="17"/>
      <c r="M139" s="17">
        <v>6300</v>
      </c>
      <c r="N139" s="17">
        <v>8040</v>
      </c>
      <c r="O139" s="17"/>
      <c r="P139" s="17">
        <v>4940</v>
      </c>
      <c r="Q139" s="17">
        <v>8200</v>
      </c>
      <c r="R139" s="17">
        <f>(Q139/15)*12</f>
        <v>6560</v>
      </c>
      <c r="S139" s="17">
        <v>7080</v>
      </c>
      <c r="T139" s="17"/>
      <c r="U139" s="17">
        <v>1140</v>
      </c>
      <c r="V139" s="17"/>
      <c r="W139" s="17">
        <v>26520</v>
      </c>
      <c r="X139" s="17">
        <v>38460</v>
      </c>
      <c r="Y139" s="17"/>
      <c r="Z139" s="17"/>
      <c r="AA139" s="17">
        <v>55580</v>
      </c>
      <c r="AB139" s="17">
        <v>31140</v>
      </c>
      <c r="AC139" s="17">
        <v>10620</v>
      </c>
      <c r="AD139" s="17"/>
      <c r="AE139" s="17"/>
      <c r="AF139" s="17"/>
      <c r="AG139" s="17"/>
      <c r="AH139" s="17"/>
      <c r="AI139" s="17"/>
      <c r="AJ139" s="17"/>
      <c r="AK139" s="17"/>
      <c r="AL139" s="17"/>
      <c r="AM139" s="17">
        <v>96920</v>
      </c>
      <c r="AN139" s="17"/>
      <c r="AO139" s="17"/>
      <c r="AP139" s="17"/>
      <c r="AQ139" s="17"/>
      <c r="AR139" s="17"/>
      <c r="AS139" s="17"/>
      <c r="AT139" s="17"/>
      <c r="AU139" s="17"/>
      <c r="AV139" s="17"/>
      <c r="AW139" s="17"/>
      <c r="AX139" s="17"/>
      <c r="AY139" s="17"/>
      <c r="AZ139" s="17"/>
      <c r="BA139" s="17"/>
      <c r="BB139" s="17"/>
      <c r="BC139" s="17"/>
      <c r="BD139" s="17"/>
    </row>
    <row r="140" spans="1:56" x14ac:dyDescent="0.25">
      <c r="A140" s="88" t="s">
        <v>498</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v>343892</v>
      </c>
      <c r="AM140" s="17">
        <v>18000</v>
      </c>
      <c r="AN140" s="17"/>
      <c r="AO140" s="17">
        <v>100000</v>
      </c>
      <c r="AP140" s="17"/>
      <c r="AQ140" s="17"/>
      <c r="AR140" s="17"/>
      <c r="AS140" s="17"/>
      <c r="AT140" s="17"/>
      <c r="AU140" s="17"/>
      <c r="AV140" s="17"/>
      <c r="AW140" s="17"/>
      <c r="AX140" s="17"/>
      <c r="AY140" s="17"/>
      <c r="AZ140" s="17"/>
      <c r="BA140" s="17">
        <v>135830</v>
      </c>
      <c r="BB140" s="17"/>
      <c r="BC140" s="17">
        <v>247560</v>
      </c>
      <c r="BD140" s="17">
        <v>300000</v>
      </c>
    </row>
    <row r="141" spans="1:56" x14ac:dyDescent="0.25">
      <c r="A141" s="88" t="s">
        <v>132</v>
      </c>
      <c r="B141" s="17"/>
      <c r="C141" s="17"/>
      <c r="D141" s="17"/>
      <c r="E141" s="17"/>
      <c r="F141" s="17"/>
      <c r="G141" s="17"/>
      <c r="H141" s="17"/>
      <c r="I141" s="17"/>
      <c r="J141" s="17"/>
      <c r="K141" s="17"/>
      <c r="L141" s="17"/>
      <c r="M141" s="17"/>
      <c r="N141" s="17">
        <v>20000</v>
      </c>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row>
    <row r="142" spans="1:56" x14ac:dyDescent="0.25">
      <c r="A142" s="88" t="s">
        <v>487</v>
      </c>
      <c r="B142" s="17">
        <v>2520</v>
      </c>
      <c r="C142" s="17">
        <v>4560</v>
      </c>
      <c r="D142" s="17"/>
      <c r="E142" s="17"/>
      <c r="F142" s="17"/>
      <c r="G142" s="17"/>
      <c r="H142" s="17"/>
      <c r="I142" s="17"/>
      <c r="J142" s="17"/>
      <c r="K142" s="17"/>
      <c r="L142" s="17"/>
      <c r="M142" s="17">
        <v>6800</v>
      </c>
      <c r="N142" s="17">
        <v>7600</v>
      </c>
      <c r="O142" s="17"/>
      <c r="P142" s="17"/>
      <c r="Q142" s="17">
        <v>13140</v>
      </c>
      <c r="R142" s="17">
        <f>(Q142/15)*12</f>
        <v>10512</v>
      </c>
      <c r="S142" s="17">
        <v>31080</v>
      </c>
      <c r="T142" s="17"/>
      <c r="U142" s="17">
        <v>17400</v>
      </c>
      <c r="V142" s="17"/>
      <c r="W142" s="17">
        <v>228600</v>
      </c>
      <c r="X142" s="17">
        <v>214300</v>
      </c>
      <c r="Y142" s="17"/>
      <c r="Z142" s="17">
        <v>265520</v>
      </c>
      <c r="AA142" s="17">
        <v>104200</v>
      </c>
      <c r="AB142" s="17">
        <v>46200</v>
      </c>
      <c r="AC142" s="17">
        <v>6300</v>
      </c>
      <c r="AD142" s="17">
        <v>15480</v>
      </c>
      <c r="AE142" s="17"/>
      <c r="AF142" s="17">
        <v>18000</v>
      </c>
      <c r="AG142" s="17"/>
      <c r="AH142" s="17">
        <v>48000</v>
      </c>
      <c r="AI142" s="17">
        <v>49800</v>
      </c>
      <c r="AJ142" s="17"/>
      <c r="AK142" s="17">
        <v>444000</v>
      </c>
      <c r="AL142" s="17">
        <v>163000</v>
      </c>
      <c r="AM142" s="17">
        <v>514360</v>
      </c>
      <c r="AN142" s="17"/>
      <c r="AO142" s="17">
        <v>350000</v>
      </c>
      <c r="AP142" s="17"/>
      <c r="AQ142" s="17"/>
      <c r="AR142" s="17"/>
      <c r="AS142" s="17"/>
      <c r="AT142" s="17">
        <v>717000</v>
      </c>
      <c r="AU142" s="17">
        <v>668250</v>
      </c>
      <c r="AV142" s="17"/>
      <c r="AW142" s="17">
        <v>816000</v>
      </c>
      <c r="AX142" s="17"/>
      <c r="AY142" s="17">
        <v>637000</v>
      </c>
      <c r="AZ142" s="17">
        <v>387000</v>
      </c>
      <c r="BA142" s="17">
        <v>529000</v>
      </c>
      <c r="BB142" s="17"/>
      <c r="BC142" s="17">
        <v>893800</v>
      </c>
      <c r="BD142" s="17">
        <v>800000</v>
      </c>
    </row>
    <row r="143" spans="1:56" x14ac:dyDescent="0.25">
      <c r="A143" s="88"/>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row>
    <row r="144" spans="1:56" x14ac:dyDescent="0.25">
      <c r="A144" s="88" t="s">
        <v>175</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v>60360</v>
      </c>
      <c r="AB144" s="17"/>
      <c r="AC144" s="17"/>
      <c r="AD144" s="17"/>
      <c r="AE144" s="17"/>
      <c r="AF144" s="17"/>
      <c r="AG144" s="17"/>
      <c r="AH144" s="17"/>
      <c r="AI144" s="17"/>
      <c r="AJ144" s="17"/>
      <c r="AK144" s="17"/>
      <c r="AL144" s="17"/>
      <c r="AM144" s="17"/>
      <c r="AN144" s="17"/>
      <c r="AO144" s="17"/>
      <c r="AP144" s="17"/>
      <c r="AQ144" s="17"/>
      <c r="AR144" s="17"/>
      <c r="AS144" s="17"/>
      <c r="AT144" s="17">
        <v>704236</v>
      </c>
      <c r="AU144" s="17"/>
      <c r="AV144" s="17"/>
      <c r="AW144" s="17"/>
      <c r="AX144" s="17"/>
      <c r="AY144" s="17">
        <v>88300</v>
      </c>
      <c r="AZ144" s="17">
        <v>46300</v>
      </c>
      <c r="BA144" s="17">
        <v>14000</v>
      </c>
      <c r="BB144" s="17"/>
      <c r="BC144" s="17">
        <v>37700</v>
      </c>
      <c r="BD144" s="17">
        <v>30000</v>
      </c>
    </row>
    <row r="145" spans="1:56" x14ac:dyDescent="0.25">
      <c r="A145" s="88" t="s">
        <v>163</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v>275000</v>
      </c>
      <c r="AB145" s="17"/>
      <c r="AC145" s="17"/>
      <c r="AD145" s="17"/>
      <c r="AE145" s="17"/>
      <c r="AF145" s="17"/>
      <c r="AG145" s="17"/>
      <c r="AH145" s="17"/>
      <c r="AI145" s="17"/>
      <c r="AJ145" s="17"/>
      <c r="AK145" s="17"/>
      <c r="AL145" s="17"/>
      <c r="AM145" s="17"/>
      <c r="AN145" s="17"/>
      <c r="AO145" s="17"/>
      <c r="AP145" s="17"/>
      <c r="AQ145" s="17"/>
      <c r="AR145" s="17"/>
      <c r="AS145" s="17"/>
      <c r="AT145" s="17"/>
      <c r="AU145" s="17">
        <v>51500</v>
      </c>
      <c r="AV145" s="17"/>
      <c r="AW145" s="17"/>
      <c r="AX145" s="17"/>
      <c r="AY145" s="17">
        <v>40000</v>
      </c>
      <c r="AZ145" s="17">
        <v>156200</v>
      </c>
      <c r="BA145" s="17">
        <v>1787760</v>
      </c>
      <c r="BB145" s="17"/>
      <c r="BC145" s="17">
        <v>316050</v>
      </c>
      <c r="BD145" s="17">
        <v>200000</v>
      </c>
    </row>
    <row r="146" spans="1:56" x14ac:dyDescent="0.25">
      <c r="A146" s="88" t="s">
        <v>162</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row>
    <row r="147" spans="1:56" x14ac:dyDescent="0.25">
      <c r="A147" s="88" t="s">
        <v>177</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v>77800</v>
      </c>
      <c r="AE147" s="17"/>
      <c r="AF147" s="17"/>
      <c r="AG147" s="17"/>
      <c r="AH147" s="17"/>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row>
    <row r="148" spans="1:56" x14ac:dyDescent="0.25">
      <c r="A148" s="88" t="s">
        <v>178</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v>303460</v>
      </c>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row>
    <row r="149" spans="1:56" x14ac:dyDescent="0.25">
      <c r="A149" s="88"/>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row>
    <row r="150" spans="1:56" x14ac:dyDescent="0.25">
      <c r="A150" s="88" t="s">
        <v>133</v>
      </c>
      <c r="B150" s="17">
        <v>9530</v>
      </c>
      <c r="C150" s="17"/>
      <c r="D150" s="17"/>
      <c r="E150" s="17">
        <v>1600</v>
      </c>
      <c r="F150" s="17"/>
      <c r="G150" s="17"/>
      <c r="H150" s="17"/>
      <c r="I150" s="17"/>
      <c r="J150" s="17"/>
      <c r="K150" s="17"/>
      <c r="L150" s="17"/>
      <c r="M150" s="17">
        <v>28800</v>
      </c>
      <c r="N150" s="17">
        <v>10920</v>
      </c>
      <c r="O150" s="17"/>
      <c r="P150" s="17"/>
      <c r="Q150" s="17">
        <v>12800</v>
      </c>
      <c r="R150" s="17">
        <f>(Q150/15)*12</f>
        <v>10240</v>
      </c>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row>
    <row r="151" spans="1:56" ht="30" x14ac:dyDescent="0.25">
      <c r="A151" s="88" t="s">
        <v>171</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v>767400</v>
      </c>
      <c r="AU151" s="17">
        <v>500000</v>
      </c>
      <c r="AV151" s="17"/>
      <c r="AW151" s="17"/>
      <c r="AX151" s="17"/>
      <c r="AY151" s="17">
        <v>34300</v>
      </c>
      <c r="AZ151" s="17"/>
      <c r="BA151" s="17">
        <v>92520</v>
      </c>
      <c r="BB151" s="17"/>
      <c r="BC151" s="17">
        <f>20000+93100</f>
        <v>113100</v>
      </c>
      <c r="BD151" s="17"/>
    </row>
    <row r="152" spans="1:56" x14ac:dyDescent="0.25">
      <c r="A152" s="88" t="s">
        <v>172</v>
      </c>
      <c r="B152" s="17"/>
      <c r="C152" s="17">
        <v>5760</v>
      </c>
      <c r="D152" s="17"/>
      <c r="E152" s="17"/>
      <c r="F152" s="17"/>
      <c r="G152" s="17">
        <v>9940</v>
      </c>
      <c r="H152" s="17">
        <v>13660</v>
      </c>
      <c r="I152" s="17"/>
      <c r="J152" s="17"/>
      <c r="K152" s="17"/>
      <c r="L152" s="17"/>
      <c r="M152" s="17"/>
      <c r="N152" s="17"/>
      <c r="O152" s="17"/>
      <c r="P152" s="17"/>
      <c r="Q152" s="17"/>
      <c r="R152" s="17"/>
      <c r="S152" s="17">
        <v>7650</v>
      </c>
      <c r="T152" s="17"/>
      <c r="U152" s="17"/>
      <c r="V152" s="17"/>
      <c r="W152" s="17">
        <v>3120</v>
      </c>
      <c r="X152" s="17"/>
      <c r="Y152" s="17"/>
      <c r="Z152" s="17">
        <v>30000</v>
      </c>
      <c r="AA152" s="17"/>
      <c r="AB152" s="17"/>
      <c r="AC152" s="17"/>
      <c r="AD152" s="17">
        <v>73340</v>
      </c>
      <c r="AE152" s="17"/>
      <c r="AF152" s="17">
        <v>27460</v>
      </c>
      <c r="AG152" s="17">
        <v>29020</v>
      </c>
      <c r="AH152" s="17">
        <v>24460</v>
      </c>
      <c r="AI152" s="17">
        <v>33500</v>
      </c>
      <c r="AJ152" s="17"/>
      <c r="AK152" s="17">
        <v>25860</v>
      </c>
      <c r="AL152" s="17">
        <v>9280</v>
      </c>
      <c r="AM152" s="17">
        <v>39740</v>
      </c>
      <c r="AN152" s="17"/>
      <c r="AO152" s="17"/>
      <c r="AP152" s="17"/>
      <c r="AQ152" s="17"/>
      <c r="AR152" s="17"/>
      <c r="AS152" s="17"/>
      <c r="AT152" s="17"/>
      <c r="AU152" s="17">
        <v>146260</v>
      </c>
      <c r="AV152" s="17"/>
      <c r="AW152" s="17"/>
      <c r="AX152" s="17"/>
      <c r="AY152" s="17"/>
      <c r="AZ152" s="17">
        <f>6400+8500</f>
        <v>14900</v>
      </c>
      <c r="BA152" s="17">
        <v>8000</v>
      </c>
      <c r="BB152" s="17"/>
      <c r="BC152" s="17"/>
      <c r="BD152" s="17">
        <v>20000</v>
      </c>
    </row>
    <row r="153" spans="1:56" x14ac:dyDescent="0.25">
      <c r="A153" s="88" t="s">
        <v>173</v>
      </c>
      <c r="B153" s="17"/>
      <c r="C153" s="17"/>
      <c r="D153" s="17"/>
      <c r="E153" s="17"/>
      <c r="F153" s="17"/>
      <c r="G153" s="17"/>
      <c r="H153" s="17"/>
      <c r="I153" s="17"/>
      <c r="J153" s="17"/>
      <c r="K153" s="17"/>
      <c r="L153" s="17"/>
      <c r="M153" s="17">
        <f>10430+14320</f>
        <v>24750</v>
      </c>
      <c r="N153" s="17">
        <v>12820</v>
      </c>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v>25000</v>
      </c>
      <c r="AP153" s="17"/>
      <c r="AQ153" s="17"/>
      <c r="AR153" s="17"/>
      <c r="AS153" s="17"/>
      <c r="AT153" s="17"/>
      <c r="AU153" s="17"/>
      <c r="AV153" s="17"/>
      <c r="AW153" s="17"/>
      <c r="AX153" s="17"/>
      <c r="AY153" s="17"/>
      <c r="AZ153" s="17"/>
      <c r="BA153" s="17"/>
      <c r="BB153" s="17"/>
      <c r="BC153" s="17"/>
      <c r="BD153" s="17"/>
    </row>
    <row r="154" spans="1:56" x14ac:dyDescent="0.25">
      <c r="A154" s="88" t="s">
        <v>164</v>
      </c>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v>229000</v>
      </c>
      <c r="AX154" s="17"/>
      <c r="AY154" s="17">
        <v>200000</v>
      </c>
      <c r="AZ154" s="17">
        <v>3000</v>
      </c>
      <c r="BA154" s="17">
        <v>68700</v>
      </c>
      <c r="BB154" s="17"/>
      <c r="BC154" s="17">
        <v>83300</v>
      </c>
      <c r="BD154" s="17"/>
    </row>
    <row r="155" spans="1:56" x14ac:dyDescent="0.25">
      <c r="A155" s="88" t="s">
        <v>1068</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v>381380</v>
      </c>
      <c r="AV155" s="17"/>
      <c r="AW155" s="17"/>
      <c r="AX155" s="17"/>
      <c r="AY155" s="17"/>
      <c r="AZ155" s="17">
        <v>101000</v>
      </c>
      <c r="BA155" s="17"/>
      <c r="BB155" s="17"/>
      <c r="BC155" s="17"/>
      <c r="BD155" s="17"/>
    </row>
    <row r="156" spans="1:56" x14ac:dyDescent="0.25">
      <c r="A156" s="88" t="s">
        <v>165</v>
      </c>
      <c r="B156" s="17"/>
      <c r="C156" s="17">
        <v>2240</v>
      </c>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row>
    <row r="157" spans="1:56" x14ac:dyDescent="0.25">
      <c r="A157" s="88" t="s">
        <v>134</v>
      </c>
      <c r="B157" s="17"/>
      <c r="C157" s="17"/>
      <c r="D157" s="17">
        <v>30720</v>
      </c>
      <c r="E157" s="17"/>
      <c r="F157" s="17"/>
      <c r="G157" s="17"/>
      <c r="H157" s="17"/>
      <c r="I157" s="17"/>
      <c r="J157" s="17"/>
      <c r="K157" s="17"/>
      <c r="L157" s="17"/>
      <c r="M157" s="17"/>
      <c r="N157" s="17"/>
      <c r="O157" s="17"/>
      <c r="P157" s="17"/>
      <c r="Q157" s="17">
        <v>38140</v>
      </c>
      <c r="R157" s="17">
        <f>(Q157/15)*12</f>
        <v>30512</v>
      </c>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row>
    <row r="158" spans="1:56" x14ac:dyDescent="0.25">
      <c r="A158" s="88"/>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row>
    <row r="159" spans="1:56" x14ac:dyDescent="0.25">
      <c r="A159" s="82" t="s">
        <v>179</v>
      </c>
      <c r="B159" s="17"/>
      <c r="C159" s="17"/>
      <c r="D159" s="17"/>
      <c r="E159" s="17"/>
      <c r="F159" s="17"/>
      <c r="G159" s="17"/>
      <c r="H159" s="17"/>
      <c r="I159" s="17"/>
      <c r="J159" s="17"/>
      <c r="K159" s="17"/>
      <c r="L159" s="17"/>
      <c r="M159" s="17"/>
      <c r="N159" s="17"/>
      <c r="O159" s="17"/>
      <c r="P159" s="17"/>
      <c r="Q159" s="17"/>
      <c r="R159" s="17"/>
      <c r="S159" s="17"/>
      <c r="T159" s="17"/>
      <c r="U159" s="17">
        <v>8000</v>
      </c>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v>92000</v>
      </c>
      <c r="AV159" s="17"/>
      <c r="AW159" s="17"/>
      <c r="AX159" s="17"/>
      <c r="AY159" s="17"/>
      <c r="AZ159" s="17"/>
      <c r="BA159" s="17"/>
      <c r="BB159" s="17"/>
      <c r="BC159" s="17"/>
      <c r="BD159" s="17"/>
    </row>
    <row r="160" spans="1:56" x14ac:dyDescent="0.25">
      <c r="A160" s="88"/>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row>
    <row r="161" spans="1:57" x14ac:dyDescent="0.25">
      <c r="A161" s="82" t="s">
        <v>166</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v>11520</v>
      </c>
      <c r="AN161" s="17"/>
      <c r="AO161" s="17"/>
      <c r="AP161" s="17"/>
      <c r="AQ161" s="17"/>
      <c r="AR161" s="17"/>
      <c r="AS161" s="17"/>
      <c r="AT161" s="17"/>
      <c r="AU161" s="17"/>
      <c r="AV161" s="17"/>
      <c r="AW161" s="17"/>
      <c r="AX161" s="17"/>
      <c r="AY161" s="17"/>
      <c r="AZ161" s="17"/>
      <c r="BA161" s="17"/>
      <c r="BB161" s="17"/>
      <c r="BC161" s="17"/>
      <c r="BD161" s="17"/>
    </row>
    <row r="162" spans="1:57" x14ac:dyDescent="0.25">
      <c r="A162" s="88" t="s">
        <v>167</v>
      </c>
      <c r="B162" s="17"/>
      <c r="C162" s="17"/>
      <c r="D162" s="17"/>
      <c r="E162" s="17"/>
      <c r="F162" s="17"/>
      <c r="G162" s="17"/>
      <c r="H162" s="17"/>
      <c r="I162" s="17"/>
      <c r="J162" s="17"/>
      <c r="K162" s="17"/>
      <c r="L162" s="17"/>
      <c r="M162" s="17"/>
      <c r="N162" s="17"/>
      <c r="O162" s="17"/>
      <c r="P162" s="17">
        <v>128640</v>
      </c>
      <c r="Q162" s="17"/>
      <c r="R162" s="17"/>
      <c r="S162" s="17"/>
      <c r="T162" s="17"/>
      <c r="U162" s="17"/>
      <c r="V162" s="17"/>
      <c r="W162" s="17"/>
      <c r="X162" s="17"/>
      <c r="Y162" s="17"/>
      <c r="Z162" s="17"/>
      <c r="AA162" s="17">
        <v>168040</v>
      </c>
      <c r="AB162" s="17"/>
      <c r="AC162" s="17"/>
      <c r="AD162" s="17"/>
      <c r="AE162" s="17"/>
      <c r="AF162" s="17"/>
      <c r="AG162" s="17"/>
      <c r="AH162" s="17"/>
      <c r="AI162" s="17"/>
      <c r="AJ162" s="17"/>
      <c r="AK162" s="17"/>
      <c r="AL162" s="17"/>
      <c r="AM162" s="17"/>
      <c r="AN162" s="17"/>
      <c r="AO162" s="17"/>
      <c r="AP162" s="17"/>
      <c r="AQ162" s="17"/>
      <c r="AR162" s="17"/>
      <c r="AS162" s="17"/>
      <c r="AT162" s="17"/>
      <c r="AU162" s="17">
        <v>1589773</v>
      </c>
      <c r="AV162" s="17"/>
      <c r="AW162" s="17"/>
      <c r="AX162" s="17"/>
      <c r="AY162" s="17"/>
      <c r="AZ162" s="17"/>
      <c r="BA162" s="17"/>
      <c r="BB162" s="17"/>
      <c r="BC162" s="17"/>
      <c r="BD162" s="17"/>
    </row>
    <row r="163" spans="1:57" x14ac:dyDescent="0.25">
      <c r="A163" s="88" t="s">
        <v>135</v>
      </c>
      <c r="B163" s="17"/>
      <c r="C163" s="17"/>
      <c r="D163" s="17"/>
      <c r="E163" s="17"/>
      <c r="F163" s="17"/>
      <c r="G163" s="17"/>
      <c r="H163" s="17"/>
      <c r="I163" s="17"/>
      <c r="J163" s="17"/>
      <c r="K163" s="17"/>
      <c r="L163" s="17"/>
      <c r="M163" s="17"/>
      <c r="N163" s="17"/>
      <c r="O163" s="17"/>
      <c r="P163" s="17"/>
      <c r="Q163" s="17"/>
      <c r="R163" s="17"/>
      <c r="S163" s="17">
        <f>24000+24000</f>
        <v>48000</v>
      </c>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7"/>
      <c r="AY163" s="17"/>
      <c r="AZ163" s="17"/>
      <c r="BA163" s="17"/>
      <c r="BB163" s="17"/>
      <c r="BC163" s="17"/>
      <c r="BD163" s="17"/>
    </row>
    <row r="164" spans="1:57" x14ac:dyDescent="0.25">
      <c r="A164" s="88"/>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row>
    <row r="165" spans="1:57" x14ac:dyDescent="0.25">
      <c r="A165" s="88" t="s">
        <v>136</v>
      </c>
      <c r="B165" s="17"/>
      <c r="C165" s="17"/>
      <c r="D165" s="17"/>
      <c r="E165" s="17"/>
      <c r="F165" s="17"/>
      <c r="G165" s="17"/>
      <c r="H165" s="17"/>
      <c r="I165" s="17"/>
      <c r="J165" s="17"/>
      <c r="K165" s="17"/>
      <c r="L165" s="17"/>
      <c r="M165" s="17"/>
      <c r="N165" s="17"/>
      <c r="O165" s="17"/>
      <c r="P165" s="17">
        <v>24000</v>
      </c>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7"/>
      <c r="AY165" s="17"/>
      <c r="AZ165" s="17"/>
      <c r="BA165" s="17"/>
      <c r="BB165" s="17"/>
      <c r="BC165" s="17"/>
      <c r="BD165" s="17"/>
    </row>
    <row r="166" spans="1:57" x14ac:dyDescent="0.25">
      <c r="A166" s="88" t="s">
        <v>168</v>
      </c>
      <c r="B166" s="17"/>
      <c r="C166" s="17"/>
      <c r="D166" s="17"/>
      <c r="E166" s="17"/>
      <c r="F166" s="17"/>
      <c r="G166" s="17"/>
      <c r="H166" s="17"/>
      <c r="I166" s="17"/>
      <c r="J166" s="17"/>
      <c r="K166" s="17"/>
      <c r="L166" s="17"/>
      <c r="M166" s="17"/>
      <c r="N166" s="17"/>
      <c r="O166" s="17"/>
      <c r="P166" s="17">
        <v>63660</v>
      </c>
      <c r="Q166" s="17"/>
      <c r="R166" s="17"/>
      <c r="S166" s="17"/>
      <c r="T166" s="17"/>
      <c r="U166" s="17">
        <v>28000</v>
      </c>
      <c r="V166" s="17"/>
      <c r="W166" s="17">
        <v>15970</v>
      </c>
      <c r="X166" s="17"/>
      <c r="Y166" s="17"/>
      <c r="Z166" s="17"/>
      <c r="AA166" s="17"/>
      <c r="AB166" s="17"/>
      <c r="AC166" s="17">
        <v>165270</v>
      </c>
      <c r="AD166" s="17">
        <v>173974</v>
      </c>
      <c r="AE166" s="17"/>
      <c r="AF166" s="17"/>
      <c r="AG166" s="17"/>
      <c r="AH166" s="17"/>
      <c r="AI166" s="17"/>
      <c r="AJ166" s="17"/>
      <c r="AK166" s="17">
        <v>299260</v>
      </c>
      <c r="AL166" s="17">
        <v>377130</v>
      </c>
      <c r="AM166" s="17">
        <v>295212</v>
      </c>
      <c r="AN166" s="17"/>
      <c r="AO166" s="17">
        <v>48262</v>
      </c>
      <c r="AP166" s="17"/>
      <c r="AQ166" s="17"/>
      <c r="AR166" s="17"/>
      <c r="AS166" s="17"/>
      <c r="AT166" s="17">
        <v>273798</v>
      </c>
      <c r="AU166" s="17">
        <f>6600</f>
        <v>6600</v>
      </c>
      <c r="AV166" s="17"/>
      <c r="AW166" s="17">
        <f>201040</f>
        <v>201040</v>
      </c>
      <c r="AX166" s="17"/>
      <c r="AY166" s="17">
        <v>378710</v>
      </c>
      <c r="AZ166" s="17"/>
      <c r="BA166" s="17">
        <v>100000</v>
      </c>
      <c r="BB166" s="17"/>
      <c r="BC166" s="17">
        <f>83000+76700</f>
        <v>159700</v>
      </c>
      <c r="BD166" s="17"/>
    </row>
    <row r="167" spans="1:57" x14ac:dyDescent="0.25">
      <c r="A167" s="88"/>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row>
    <row r="168" spans="1:57" x14ac:dyDescent="0.25">
      <c r="A168" s="88"/>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row>
    <row r="169" spans="1:57" x14ac:dyDescent="0.25">
      <c r="A169" s="89" t="s">
        <v>137</v>
      </c>
      <c r="B169" s="28">
        <f t="shared" ref="B169:N169" si="5">SUM(B103:B168)</f>
        <v>118978</v>
      </c>
      <c r="C169" s="28">
        <f t="shared" si="5"/>
        <v>129511</v>
      </c>
      <c r="D169" s="28">
        <f t="shared" si="5"/>
        <v>117522</v>
      </c>
      <c r="E169" s="28">
        <f t="shared" si="5"/>
        <v>86300</v>
      </c>
      <c r="F169" s="28">
        <f t="shared" si="5"/>
        <v>72000</v>
      </c>
      <c r="G169" s="28">
        <f t="shared" si="5"/>
        <v>159504</v>
      </c>
      <c r="H169" s="28">
        <f t="shared" si="5"/>
        <v>173922</v>
      </c>
      <c r="I169" s="28">
        <f t="shared" si="5"/>
        <v>204518</v>
      </c>
      <c r="J169" s="28">
        <f t="shared" si="5"/>
        <v>0</v>
      </c>
      <c r="K169" s="28">
        <f t="shared" si="5"/>
        <v>157719</v>
      </c>
      <c r="L169" s="28">
        <f t="shared" si="5"/>
        <v>0</v>
      </c>
      <c r="M169" s="28">
        <f t="shared" si="5"/>
        <v>385361</v>
      </c>
      <c r="N169" s="28">
        <f t="shared" si="5"/>
        <v>298445</v>
      </c>
      <c r="O169" s="28"/>
      <c r="P169" s="28">
        <f>SUM(P103:P168)</f>
        <v>412178</v>
      </c>
      <c r="Q169" s="28">
        <f>SUM(Q103:Q168)</f>
        <v>465851</v>
      </c>
      <c r="R169" s="17">
        <f>(Q169/15)*12</f>
        <v>372680.8</v>
      </c>
      <c r="S169" s="28">
        <f>SUM(S103:S168)</f>
        <v>350124</v>
      </c>
      <c r="T169" s="28">
        <f>SUM(T103:T168)</f>
        <v>0</v>
      </c>
      <c r="U169" s="28">
        <f>SUM(U103:U168)</f>
        <v>167793</v>
      </c>
      <c r="V169" s="28"/>
      <c r="W169" s="28">
        <f>SUM(W103:W168)</f>
        <v>361584</v>
      </c>
      <c r="X169" s="28">
        <f>SUM(X103:X168)</f>
        <v>732080</v>
      </c>
      <c r="Y169" s="28"/>
      <c r="Z169" s="28">
        <f>SUM(Z103:Z168)</f>
        <v>2168260</v>
      </c>
      <c r="AA169" s="28">
        <f>SUM(AA103:AA168)</f>
        <v>2136557</v>
      </c>
      <c r="AB169" s="28">
        <f>SUM(AB103:AB168)</f>
        <v>1019498</v>
      </c>
      <c r="AC169" s="28">
        <f>SUM(AC103:AC168)</f>
        <v>850442</v>
      </c>
      <c r="AD169" s="28">
        <f>SUM(AD103:AD168)</f>
        <v>882839</v>
      </c>
      <c r="AE169" s="28"/>
      <c r="AF169" s="28">
        <f>SUM(AF103:AF168)</f>
        <v>1530431</v>
      </c>
      <c r="AG169" s="28">
        <f>SUM(AG103:AG168)</f>
        <v>1267647</v>
      </c>
      <c r="AH169" s="28">
        <f>SUM(AH103:AH168)</f>
        <v>1313763</v>
      </c>
      <c r="AI169" s="28">
        <f>SUM(AI103:AI168)</f>
        <v>1616733</v>
      </c>
      <c r="AJ169" s="28"/>
      <c r="AK169" s="28">
        <f>SUM(AK103:AK168)</f>
        <v>1375769</v>
      </c>
      <c r="AL169" s="28">
        <f>SUM(AL103:AL168)</f>
        <v>1737561</v>
      </c>
      <c r="AM169" s="28">
        <f>SUM(AM103:AM168)</f>
        <v>2460570</v>
      </c>
      <c r="AN169" s="28"/>
      <c r="AO169" s="28">
        <f>SUM(AO103:AO168)</f>
        <v>1532793</v>
      </c>
      <c r="AP169" s="28"/>
      <c r="AQ169" s="28"/>
      <c r="AR169" s="28"/>
      <c r="AS169" s="28"/>
      <c r="AT169" s="28">
        <f t="shared" ref="AT169:BC169" si="6">SUM(AT103:AT168)</f>
        <v>4792000</v>
      </c>
      <c r="AU169" s="28">
        <f t="shared" si="6"/>
        <v>5681894</v>
      </c>
      <c r="AV169" s="28">
        <f t="shared" si="6"/>
        <v>0</v>
      </c>
      <c r="AW169" s="28">
        <f t="shared" si="6"/>
        <v>4634719</v>
      </c>
      <c r="AX169" s="28">
        <f t="shared" si="6"/>
        <v>0</v>
      </c>
      <c r="AY169" s="28">
        <f t="shared" si="6"/>
        <v>4611491</v>
      </c>
      <c r="AZ169" s="28">
        <f t="shared" si="6"/>
        <v>6012282</v>
      </c>
      <c r="BA169" s="28">
        <f t="shared" si="6"/>
        <v>8641112</v>
      </c>
      <c r="BB169" s="28">
        <f t="shared" si="6"/>
        <v>0</v>
      </c>
      <c r="BC169" s="28">
        <f t="shared" si="6"/>
        <v>12995748</v>
      </c>
      <c r="BD169" s="28">
        <f>SUM(BD105:BD168)</f>
        <v>13676811</v>
      </c>
    </row>
    <row r="170" spans="1:57" x14ac:dyDescent="0.25">
      <c r="A170" s="89"/>
      <c r="B170" s="28"/>
      <c r="C170" s="151"/>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row>
    <row r="171" spans="1:57" x14ac:dyDescent="0.25">
      <c r="A171" s="89" t="s">
        <v>621</v>
      </c>
      <c r="B171" s="28">
        <f t="shared" ref="B171:Q171" si="7">B169-B103</f>
        <v>118978</v>
      </c>
      <c r="C171" s="28">
        <f t="shared" si="7"/>
        <v>129511</v>
      </c>
      <c r="D171" s="28">
        <f t="shared" si="7"/>
        <v>117522</v>
      </c>
      <c r="E171" s="28">
        <f t="shared" si="7"/>
        <v>86300</v>
      </c>
      <c r="F171" s="28">
        <f t="shared" si="7"/>
        <v>72000</v>
      </c>
      <c r="G171" s="28">
        <f t="shared" si="7"/>
        <v>159504</v>
      </c>
      <c r="H171" s="28">
        <f t="shared" si="7"/>
        <v>173922</v>
      </c>
      <c r="I171" s="28">
        <f t="shared" si="7"/>
        <v>204518</v>
      </c>
      <c r="J171" s="28">
        <f t="shared" si="7"/>
        <v>0</v>
      </c>
      <c r="K171" s="28">
        <f t="shared" si="7"/>
        <v>157719</v>
      </c>
      <c r="L171" s="28">
        <f t="shared" si="7"/>
        <v>0</v>
      </c>
      <c r="M171" s="28">
        <f t="shared" si="7"/>
        <v>385361</v>
      </c>
      <c r="N171" s="28">
        <f t="shared" si="7"/>
        <v>298445</v>
      </c>
      <c r="O171" s="28">
        <f t="shared" si="7"/>
        <v>0</v>
      </c>
      <c r="P171" s="28">
        <f t="shared" si="7"/>
        <v>412178</v>
      </c>
      <c r="Q171" s="28">
        <f t="shared" si="7"/>
        <v>465851</v>
      </c>
      <c r="R171" s="17">
        <f>(Q171/15)*12</f>
        <v>372680.8</v>
      </c>
      <c r="S171" s="28">
        <f t="shared" ref="S171:AD171" si="8">S169-S103</f>
        <v>350124</v>
      </c>
      <c r="T171" s="28">
        <f t="shared" si="8"/>
        <v>0</v>
      </c>
      <c r="U171" s="28">
        <f t="shared" si="8"/>
        <v>167793</v>
      </c>
      <c r="V171" s="28">
        <f t="shared" si="8"/>
        <v>0</v>
      </c>
      <c r="W171" s="28">
        <f t="shared" si="8"/>
        <v>361584</v>
      </c>
      <c r="X171" s="28">
        <f t="shared" si="8"/>
        <v>732080</v>
      </c>
      <c r="Y171" s="28">
        <f t="shared" si="8"/>
        <v>0</v>
      </c>
      <c r="Z171" s="28">
        <f t="shared" si="8"/>
        <v>2168260</v>
      </c>
      <c r="AA171" s="28">
        <f t="shared" si="8"/>
        <v>2136557</v>
      </c>
      <c r="AB171" s="28">
        <f t="shared" si="8"/>
        <v>1019498</v>
      </c>
      <c r="AC171" s="28">
        <f t="shared" si="8"/>
        <v>850442</v>
      </c>
      <c r="AD171" s="28">
        <f t="shared" si="8"/>
        <v>882839</v>
      </c>
      <c r="AE171" s="28"/>
      <c r="AF171" s="28">
        <f>AF169-AF103</f>
        <v>1530431</v>
      </c>
      <c r="AG171" s="28">
        <f>AG169-AG103</f>
        <v>1267647</v>
      </c>
      <c r="AH171" s="28">
        <f>AH169-AH103</f>
        <v>1313763</v>
      </c>
      <c r="AI171" s="28">
        <f>AI169-AI103</f>
        <v>1616733</v>
      </c>
      <c r="AJ171" s="28"/>
      <c r="AK171" s="28">
        <f>AK169-AK103</f>
        <v>1375769</v>
      </c>
      <c r="AL171" s="28">
        <f>AL169-AL103</f>
        <v>1737561</v>
      </c>
      <c r="AM171" s="28">
        <f>AM169-AM103</f>
        <v>2410903</v>
      </c>
      <c r="AN171" s="28"/>
      <c r="AO171" s="28">
        <f>AO169-AO103</f>
        <v>1532793</v>
      </c>
      <c r="AP171" s="28"/>
      <c r="AQ171" s="28"/>
      <c r="AR171" s="28"/>
      <c r="AS171" s="28"/>
      <c r="AT171" s="28">
        <f t="shared" ref="AT171:BD171" si="9">AT169-AT103</f>
        <v>4792000</v>
      </c>
      <c r="AU171" s="28">
        <f t="shared" si="9"/>
        <v>5681894</v>
      </c>
      <c r="AV171" s="28">
        <f t="shared" si="9"/>
        <v>0</v>
      </c>
      <c r="AW171" s="28">
        <f t="shared" si="9"/>
        <v>4634719</v>
      </c>
      <c r="AX171" s="28">
        <f t="shared" si="9"/>
        <v>0</v>
      </c>
      <c r="AY171" s="28">
        <f t="shared" si="9"/>
        <v>4611491</v>
      </c>
      <c r="AZ171" s="28">
        <f t="shared" si="9"/>
        <v>6012282</v>
      </c>
      <c r="BA171" s="28">
        <f t="shared" si="9"/>
        <v>8641112</v>
      </c>
      <c r="BB171" s="28">
        <f t="shared" si="9"/>
        <v>0</v>
      </c>
      <c r="BC171" s="28">
        <f t="shared" si="9"/>
        <v>12995748</v>
      </c>
      <c r="BD171" s="28">
        <f t="shared" si="9"/>
        <v>13676811</v>
      </c>
    </row>
    <row r="172" spans="1:57" x14ac:dyDescent="0.25">
      <c r="A172" s="89"/>
      <c r="B172" s="28"/>
      <c r="C172" s="28"/>
      <c r="D172" s="28"/>
      <c r="E172" s="28"/>
      <c r="F172" s="28"/>
      <c r="G172" s="28"/>
      <c r="H172" s="28"/>
      <c r="I172" s="28"/>
      <c r="J172" s="28"/>
      <c r="K172" s="28"/>
      <c r="L172" s="28"/>
      <c r="M172" s="28"/>
      <c r="N172" s="28"/>
      <c r="O172" s="28"/>
      <c r="P172" s="28"/>
      <c r="Q172" s="28"/>
      <c r="R172" s="17"/>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row>
    <row r="173" spans="1:57" x14ac:dyDescent="0.25">
      <c r="A173" s="90" t="s">
        <v>622</v>
      </c>
      <c r="B173" s="28">
        <v>106450</v>
      </c>
      <c r="C173" s="28">
        <v>161860</v>
      </c>
      <c r="D173" s="28">
        <v>33370</v>
      </c>
      <c r="E173" s="28">
        <v>113010</v>
      </c>
      <c r="F173" s="28">
        <v>90980</v>
      </c>
      <c r="G173" s="28">
        <v>439400</v>
      </c>
      <c r="H173" s="28">
        <v>917640</v>
      </c>
      <c r="I173" s="28">
        <v>782700</v>
      </c>
      <c r="J173" s="28"/>
      <c r="K173" s="28">
        <v>324600</v>
      </c>
      <c r="L173" s="28">
        <v>336130</v>
      </c>
      <c r="M173" s="28">
        <v>390720</v>
      </c>
      <c r="N173" s="28">
        <v>234000</v>
      </c>
      <c r="O173" s="28"/>
      <c r="P173" s="28">
        <v>373820</v>
      </c>
      <c r="Q173" s="28">
        <v>421920</v>
      </c>
      <c r="R173" s="17">
        <v>337536</v>
      </c>
      <c r="S173" s="28">
        <v>418500</v>
      </c>
      <c r="T173" s="28"/>
      <c r="U173" s="28">
        <v>161120</v>
      </c>
      <c r="V173" s="28"/>
      <c r="W173" s="28">
        <v>288870</v>
      </c>
      <c r="X173" s="28">
        <v>614080</v>
      </c>
      <c r="Y173" s="28"/>
      <c r="Z173" s="28">
        <v>2242760</v>
      </c>
      <c r="AA173" s="28">
        <v>1516557</v>
      </c>
      <c r="AB173" s="28">
        <v>1284840</v>
      </c>
      <c r="AC173" s="28">
        <v>890940</v>
      </c>
      <c r="AD173" s="28">
        <v>658847</v>
      </c>
      <c r="AE173" s="28"/>
      <c r="AF173" s="28">
        <v>729940</v>
      </c>
      <c r="AG173" s="28">
        <v>1124070</v>
      </c>
      <c r="AH173" s="28">
        <v>1294540</v>
      </c>
      <c r="AI173" s="28">
        <v>1594860</v>
      </c>
      <c r="AJ173" s="28">
        <v>0</v>
      </c>
      <c r="AK173" s="28">
        <v>1248440</v>
      </c>
      <c r="AL173" s="28">
        <v>1995000</v>
      </c>
      <c r="AM173" s="28">
        <v>2182200</v>
      </c>
      <c r="AN173" s="28"/>
      <c r="AO173" s="28">
        <v>1412760</v>
      </c>
      <c r="AP173" s="28"/>
      <c r="AQ173" s="28"/>
      <c r="AR173" s="28"/>
      <c r="AS173" s="28"/>
      <c r="AT173" s="28">
        <v>4816700</v>
      </c>
      <c r="AU173" s="28">
        <v>5828163</v>
      </c>
      <c r="AV173" s="28"/>
      <c r="AW173" s="28">
        <v>4629100</v>
      </c>
      <c r="AX173" s="28"/>
      <c r="AY173" s="28">
        <v>4782910</v>
      </c>
      <c r="AZ173" s="28">
        <v>5758850</v>
      </c>
      <c r="BA173" s="28">
        <v>8650400</v>
      </c>
      <c r="BB173" s="28">
        <v>0</v>
      </c>
      <c r="BC173" s="28">
        <v>12979630</v>
      </c>
      <c r="BD173" s="28">
        <v>12920700</v>
      </c>
    </row>
    <row r="174" spans="1:57" x14ac:dyDescent="0.25">
      <c r="A174" s="89"/>
      <c r="B174" s="28"/>
      <c r="C174" s="28"/>
      <c r="D174" s="28"/>
      <c r="E174" s="28"/>
      <c r="F174" s="28"/>
      <c r="G174" s="28"/>
      <c r="H174" s="28"/>
      <c r="I174" s="28"/>
      <c r="J174" s="28"/>
      <c r="K174" s="28"/>
      <c r="L174" s="28"/>
      <c r="M174" s="28"/>
      <c r="N174" s="28"/>
      <c r="O174" s="28"/>
      <c r="P174" s="28"/>
      <c r="Q174" s="28"/>
      <c r="R174" s="17"/>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row>
    <row r="175" spans="1:57" s="46" customFormat="1" x14ac:dyDescent="0.25">
      <c r="A175" s="89" t="s">
        <v>623</v>
      </c>
      <c r="B175" s="44">
        <v>-12528</v>
      </c>
      <c r="C175" s="44">
        <v>32349</v>
      </c>
      <c r="D175" s="44">
        <v>-84152</v>
      </c>
      <c r="E175" s="44">
        <v>26710</v>
      </c>
      <c r="F175" s="44">
        <v>18980</v>
      </c>
      <c r="G175" s="44">
        <v>279896</v>
      </c>
      <c r="H175" s="44">
        <v>743718</v>
      </c>
      <c r="I175" s="44">
        <v>578182</v>
      </c>
      <c r="J175" s="44">
        <v>0</v>
      </c>
      <c r="K175" s="44">
        <v>166881</v>
      </c>
      <c r="L175" s="44">
        <v>91510</v>
      </c>
      <c r="M175" s="44">
        <v>5359</v>
      </c>
      <c r="N175" s="44">
        <v>-64445</v>
      </c>
      <c r="O175" s="44">
        <v>0</v>
      </c>
      <c r="P175" s="44">
        <v>-38358</v>
      </c>
      <c r="Q175" s="44">
        <v>-43931</v>
      </c>
      <c r="R175" s="47">
        <v>-35144.800000000003</v>
      </c>
      <c r="S175" s="44">
        <v>68376</v>
      </c>
      <c r="T175" s="44">
        <v>0</v>
      </c>
      <c r="U175" s="44"/>
      <c r="V175" s="44"/>
      <c r="W175" s="44"/>
      <c r="X175" s="44"/>
      <c r="Y175" s="44"/>
      <c r="Z175" s="44">
        <v>74500</v>
      </c>
      <c r="AA175" s="44"/>
      <c r="AB175" s="44">
        <v>265342</v>
      </c>
      <c r="AC175" s="44">
        <v>40498</v>
      </c>
      <c r="AD175" s="44">
        <v>-223992</v>
      </c>
      <c r="AE175" s="44">
        <v>0</v>
      </c>
      <c r="AF175" s="44">
        <f>AF173-AF171</f>
        <v>-800491</v>
      </c>
      <c r="AG175" s="44">
        <f t="shared" ref="AG175:AW175" si="10">AG173-AG171</f>
        <v>-143577</v>
      </c>
      <c r="AH175" s="44">
        <f t="shared" si="10"/>
        <v>-19223</v>
      </c>
      <c r="AI175" s="44">
        <f t="shared" si="10"/>
        <v>-21873</v>
      </c>
      <c r="AJ175" s="44">
        <f t="shared" si="10"/>
        <v>0</v>
      </c>
      <c r="AK175" s="44">
        <f t="shared" si="10"/>
        <v>-127329</v>
      </c>
      <c r="AL175" s="44">
        <f t="shared" si="10"/>
        <v>257439</v>
      </c>
      <c r="AM175" s="44">
        <f t="shared" si="10"/>
        <v>-228703</v>
      </c>
      <c r="AN175" s="44">
        <f t="shared" si="10"/>
        <v>0</v>
      </c>
      <c r="AO175" s="44">
        <f t="shared" si="10"/>
        <v>-120033</v>
      </c>
      <c r="AP175" s="44">
        <f t="shared" si="10"/>
        <v>0</v>
      </c>
      <c r="AQ175" s="44">
        <f t="shared" si="10"/>
        <v>0</v>
      </c>
      <c r="AR175" s="44">
        <f t="shared" si="10"/>
        <v>0</v>
      </c>
      <c r="AS175" s="44">
        <f t="shared" si="10"/>
        <v>0</v>
      </c>
      <c r="AT175" s="44">
        <f t="shared" si="10"/>
        <v>24700</v>
      </c>
      <c r="AU175" s="44">
        <f t="shared" si="10"/>
        <v>146269</v>
      </c>
      <c r="AV175" s="44">
        <f t="shared" si="10"/>
        <v>0</v>
      </c>
      <c r="AW175" s="44">
        <f t="shared" si="10"/>
        <v>-5619</v>
      </c>
      <c r="AX175" s="44"/>
      <c r="AY175" s="44">
        <v>171419</v>
      </c>
      <c r="AZ175" s="44">
        <v>-253432</v>
      </c>
      <c r="BA175" s="44">
        <v>9288</v>
      </c>
      <c r="BB175" s="44"/>
      <c r="BC175" s="44">
        <v>-16118</v>
      </c>
      <c r="BD175" s="44">
        <v>-756111</v>
      </c>
      <c r="BE175" s="47"/>
    </row>
    <row r="176" spans="1:57" x14ac:dyDescent="0.25">
      <c r="A176" s="89"/>
      <c r="B176" s="28"/>
      <c r="C176" s="28"/>
      <c r="D176" s="28"/>
      <c r="E176" s="28"/>
      <c r="F176" s="28"/>
      <c r="G176" s="28"/>
      <c r="H176" s="28"/>
      <c r="I176" s="28"/>
      <c r="J176" s="28"/>
      <c r="K176" s="28"/>
      <c r="L176" s="28"/>
      <c r="M176" s="28"/>
      <c r="N176" s="28"/>
      <c r="O176" s="28"/>
      <c r="P176" s="28"/>
      <c r="Q176" s="28"/>
      <c r="R176" s="17"/>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row>
    <row r="177" spans="1:56" x14ac:dyDescent="0.25">
      <c r="A177" s="88"/>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7"/>
      <c r="AY177" s="17"/>
      <c r="AZ177" s="17"/>
      <c r="BA177" s="17"/>
      <c r="BB177" s="17"/>
      <c r="BC177" s="17"/>
      <c r="BD177" s="17"/>
    </row>
    <row r="178" spans="1:56" x14ac:dyDescent="0.25">
      <c r="A178" s="82"/>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row>
    <row r="179" spans="1:56" x14ac:dyDescent="0.25">
      <c r="A179" s="88"/>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row>
    <row r="180" spans="1:56" x14ac:dyDescent="0.25">
      <c r="A180" s="88"/>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row>
    <row r="181" spans="1:56" x14ac:dyDescent="0.25">
      <c r="A181" s="88"/>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row>
    <row r="182" spans="1:56" x14ac:dyDescent="0.25">
      <c r="A182" s="91"/>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row>
    <row r="183" spans="1:56" x14ac:dyDescent="0.25">
      <c r="A183" s="85"/>
      <c r="B183" s="28"/>
      <c r="C183" s="28"/>
      <c r="D183" s="28"/>
      <c r="E183" s="28"/>
      <c r="F183" s="28"/>
      <c r="G183" s="28"/>
      <c r="H183" s="28"/>
      <c r="I183" s="28"/>
      <c r="J183" s="28"/>
      <c r="K183" s="28"/>
      <c r="L183" s="28"/>
      <c r="M183" s="28"/>
      <c r="N183" s="28"/>
      <c r="O183" s="28"/>
      <c r="P183" s="28"/>
      <c r="Q183" s="28"/>
      <c r="R183" s="28"/>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row>
    <row r="184" spans="1:56" x14ac:dyDescent="0.25">
      <c r="A184" s="82"/>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row>
    <row r="185" spans="1:56" x14ac:dyDescent="0.25">
      <c r="A185" s="88"/>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row>
    <row r="186" spans="1:56" x14ac:dyDescent="0.25">
      <c r="A186" s="88"/>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row>
    <row r="187" spans="1:56" x14ac:dyDescent="0.25">
      <c r="A187" s="88"/>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7"/>
      <c r="AY187" s="17"/>
      <c r="AZ187" s="17"/>
      <c r="BA187" s="17"/>
      <c r="BB187" s="17"/>
      <c r="BC187" s="17"/>
      <c r="BD187" s="17"/>
    </row>
    <row r="188" spans="1:56" x14ac:dyDescent="0.25">
      <c r="A188" s="88"/>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row>
    <row r="189" spans="1:56" x14ac:dyDescent="0.25">
      <c r="A189" s="88"/>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row>
    <row r="190" spans="1:56" x14ac:dyDescent="0.25">
      <c r="A190" s="88"/>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7"/>
      <c r="AY190" s="17"/>
      <c r="AZ190" s="17"/>
      <c r="BA190" s="17"/>
      <c r="BB190" s="17"/>
      <c r="BC190" s="17"/>
      <c r="BD190" s="17"/>
    </row>
    <row r="191" spans="1:56" x14ac:dyDescent="0.25">
      <c r="A191" s="88"/>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7"/>
      <c r="AY191" s="17"/>
      <c r="AZ191" s="17"/>
      <c r="BA191" s="17"/>
      <c r="BB191" s="17"/>
      <c r="BC191" s="17"/>
      <c r="BD191" s="17"/>
    </row>
    <row r="192" spans="1:56" x14ac:dyDescent="0.25">
      <c r="A192" s="88"/>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row>
    <row r="193" spans="1:56" x14ac:dyDescent="0.25">
      <c r="A193" s="88"/>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7"/>
      <c r="AY193" s="17"/>
      <c r="AZ193" s="17"/>
      <c r="BA193" s="17"/>
      <c r="BB193" s="17"/>
      <c r="BC193" s="17"/>
      <c r="BD193" s="17"/>
    </row>
    <row r="194" spans="1:56" x14ac:dyDescent="0.25">
      <c r="A194" s="88"/>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7"/>
      <c r="AY194" s="17"/>
      <c r="AZ194" s="17"/>
      <c r="BA194" s="17"/>
      <c r="BB194" s="17"/>
      <c r="BC194" s="17"/>
      <c r="BD194" s="17"/>
    </row>
    <row r="195" spans="1:56" x14ac:dyDescent="0.25">
      <c r="A195" s="88"/>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7"/>
      <c r="AY195" s="17"/>
      <c r="AZ195" s="17"/>
      <c r="BA195" s="17"/>
      <c r="BB195" s="17"/>
      <c r="BC195" s="17"/>
      <c r="BD195" s="17"/>
    </row>
    <row r="196" spans="1:56" x14ac:dyDescent="0.25">
      <c r="A196" s="88"/>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row>
    <row r="197" spans="1:56" x14ac:dyDescent="0.25">
      <c r="A197" s="89"/>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row>
  </sheetData>
  <sortState ref="A161:BE163">
    <sortCondition ref="A161:A163"/>
  </sortState>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I240"/>
  <sheetViews>
    <sheetView showZeros="0" workbookViewId="0">
      <pane xSplit="1" ySplit="7" topLeftCell="B8" activePane="bottomRight" state="frozen"/>
      <selection pane="topRight" activeCell="B1" sqref="B1"/>
      <selection pane="bottomLeft" activeCell="A8" sqref="A8"/>
      <selection pane="bottomRight" activeCell="B8" sqref="B8"/>
    </sheetView>
  </sheetViews>
  <sheetFormatPr defaultRowHeight="15" x14ac:dyDescent="0.25"/>
  <cols>
    <col min="1" max="1" width="70.7109375" style="83" customWidth="1"/>
    <col min="2" max="2" width="20.7109375" style="14" customWidth="1"/>
    <col min="3" max="4" width="10.7109375" style="14" customWidth="1"/>
    <col min="5" max="11" width="20.7109375" style="14" customWidth="1"/>
    <col min="12" max="12" width="10.7109375" style="14" customWidth="1"/>
    <col min="13" max="13" width="20.7109375" style="14" customWidth="1"/>
    <col min="14" max="17" width="10.7109375" style="14" customWidth="1"/>
    <col min="18" max="22" width="20.7109375" style="14" customWidth="1"/>
    <col min="23" max="23" width="10.7109375" style="14" customWidth="1"/>
    <col min="24" max="26" width="20.7109375" style="14" customWidth="1"/>
    <col min="27" max="28" width="10.7109375" style="14" customWidth="1"/>
    <col min="29" max="31" width="20.7109375" style="14" customWidth="1"/>
    <col min="32" max="32" width="10.7109375" style="14" customWidth="1"/>
    <col min="33" max="42" width="20.7109375" style="14" customWidth="1"/>
    <col min="43" max="43" width="10.7109375" style="14" customWidth="1"/>
    <col min="44" max="45" width="20.7109375" style="14" customWidth="1"/>
    <col min="46" max="46" width="10.7109375" style="14" customWidth="1"/>
    <col min="47" max="53" width="20.7109375" style="14" customWidth="1"/>
    <col min="54" max="54" width="10.7109375" style="14" customWidth="1"/>
    <col min="55" max="61" width="20.7109375" style="14" customWidth="1"/>
    <col min="62" max="16384" width="9.140625" style="14"/>
  </cols>
  <sheetData>
    <row r="1" spans="1:58" x14ac:dyDescent="0.25">
      <c r="A1" s="78" t="s">
        <v>87</v>
      </c>
    </row>
    <row r="2" spans="1:58" x14ac:dyDescent="0.25">
      <c r="A2" s="79" t="s">
        <v>409</v>
      </c>
      <c r="B2" s="15" t="s">
        <v>1125</v>
      </c>
      <c r="C2" s="15"/>
      <c r="D2" s="15"/>
      <c r="E2" s="16" t="s">
        <v>1126</v>
      </c>
      <c r="F2" s="16" t="s">
        <v>1127</v>
      </c>
      <c r="G2" s="16" t="s">
        <v>1128</v>
      </c>
      <c r="H2" s="16" t="s">
        <v>1128</v>
      </c>
      <c r="I2" s="15" t="s">
        <v>1112</v>
      </c>
      <c r="J2" s="16" t="s">
        <v>1112</v>
      </c>
      <c r="K2" s="16" t="s">
        <v>1129</v>
      </c>
      <c r="L2" s="16"/>
      <c r="M2" s="15" t="s">
        <v>1114</v>
      </c>
      <c r="N2" s="15"/>
      <c r="O2" s="15"/>
      <c r="P2" s="15"/>
      <c r="Q2" s="16"/>
      <c r="R2" s="16" t="s">
        <v>1115</v>
      </c>
      <c r="S2" s="16" t="s">
        <v>453</v>
      </c>
      <c r="T2" s="16" t="s">
        <v>1130</v>
      </c>
      <c r="U2" s="16" t="s">
        <v>1116</v>
      </c>
      <c r="V2" s="15" t="s">
        <v>1131</v>
      </c>
      <c r="W2" s="16"/>
      <c r="X2" s="16" t="s">
        <v>1132</v>
      </c>
      <c r="Y2" s="16" t="s">
        <v>180</v>
      </c>
      <c r="Z2" s="16" t="s">
        <v>181</v>
      </c>
      <c r="AA2" s="16"/>
      <c r="AB2" s="16"/>
      <c r="AC2" s="16" t="s">
        <v>1133</v>
      </c>
      <c r="AD2" s="16" t="s">
        <v>1133</v>
      </c>
      <c r="AE2" s="16" t="s">
        <v>4</v>
      </c>
      <c r="AF2" s="16"/>
      <c r="AG2" s="16" t="s">
        <v>1119</v>
      </c>
      <c r="AH2" s="16" t="s">
        <v>310</v>
      </c>
      <c r="AI2" s="16" t="s">
        <v>311</v>
      </c>
      <c r="AJ2" s="16" t="s">
        <v>312</v>
      </c>
      <c r="AK2" s="16" t="s">
        <v>313</v>
      </c>
      <c r="AL2" s="22" t="s">
        <v>188</v>
      </c>
      <c r="AM2" s="16" t="s">
        <v>313</v>
      </c>
      <c r="AN2" s="16" t="s">
        <v>314</v>
      </c>
      <c r="AO2" s="16" t="s">
        <v>315</v>
      </c>
      <c r="AP2" s="16"/>
      <c r="AQ2" s="16"/>
      <c r="AR2" s="16" t="s">
        <v>316</v>
      </c>
      <c r="AS2" s="16" t="s">
        <v>317</v>
      </c>
      <c r="AT2" s="16"/>
      <c r="AU2" s="15" t="s">
        <v>318</v>
      </c>
      <c r="AV2" s="16" t="s">
        <v>196</v>
      </c>
      <c r="AW2" s="16" t="s">
        <v>195</v>
      </c>
      <c r="AX2" s="16" t="s">
        <v>196</v>
      </c>
      <c r="AY2" s="16" t="s">
        <v>197</v>
      </c>
      <c r="AZ2" s="16" t="s">
        <v>319</v>
      </c>
      <c r="BA2" s="16" t="s">
        <v>320</v>
      </c>
      <c r="BB2" s="16"/>
      <c r="BC2" s="16" t="s">
        <v>1134</v>
      </c>
      <c r="BD2" s="16" t="s">
        <v>1135</v>
      </c>
      <c r="BE2" s="16"/>
      <c r="BF2" s="16"/>
    </row>
    <row r="3" spans="1:58" x14ac:dyDescent="0.25">
      <c r="A3" s="79" t="s">
        <v>428</v>
      </c>
      <c r="B3" s="16" t="s">
        <v>1238</v>
      </c>
      <c r="C3" s="16"/>
      <c r="D3" s="16"/>
      <c r="E3" s="16" t="s">
        <v>1239</v>
      </c>
      <c r="F3" s="16" t="s">
        <v>1240</v>
      </c>
      <c r="G3" s="16" t="s">
        <v>1241</v>
      </c>
      <c r="H3" s="16" t="s">
        <v>1242</v>
      </c>
      <c r="I3" s="15" t="s">
        <v>1243</v>
      </c>
      <c r="J3" s="16" t="s">
        <v>1244</v>
      </c>
      <c r="K3" s="16" t="s">
        <v>1245</v>
      </c>
      <c r="L3" s="16"/>
      <c r="M3" s="15" t="s">
        <v>1246</v>
      </c>
      <c r="N3" s="15"/>
      <c r="O3" s="15"/>
      <c r="P3" s="15"/>
      <c r="Q3" s="16"/>
      <c r="R3" s="16" t="s">
        <v>1247</v>
      </c>
      <c r="S3" s="16" t="s">
        <v>454</v>
      </c>
      <c r="T3" s="16" t="s">
        <v>1248</v>
      </c>
      <c r="U3" s="16" t="s">
        <v>1249</v>
      </c>
      <c r="V3" s="15" t="s">
        <v>1250</v>
      </c>
      <c r="W3" s="16"/>
      <c r="X3" s="16" t="s">
        <v>1251</v>
      </c>
      <c r="Y3" s="16" t="s">
        <v>1252</v>
      </c>
      <c r="Z3" s="16" t="s">
        <v>1253</v>
      </c>
      <c r="AA3" s="16"/>
      <c r="AB3" s="16"/>
      <c r="AC3" s="16" t="s">
        <v>1254</v>
      </c>
      <c r="AD3" s="16" t="s">
        <v>1254</v>
      </c>
      <c r="AE3" s="16" t="s">
        <v>1255</v>
      </c>
      <c r="AF3" s="16"/>
      <c r="AG3" s="16" t="s">
        <v>1256</v>
      </c>
      <c r="AH3" s="16" t="s">
        <v>1257</v>
      </c>
      <c r="AI3" s="16" t="s">
        <v>1258</v>
      </c>
      <c r="AJ3" s="16" t="s">
        <v>1259</v>
      </c>
      <c r="AK3" s="16" t="s">
        <v>1260</v>
      </c>
      <c r="AL3" s="22" t="s">
        <v>1261</v>
      </c>
      <c r="AM3" s="16" t="s">
        <v>1260</v>
      </c>
      <c r="AN3" s="16" t="s">
        <v>1262</v>
      </c>
      <c r="AO3" s="16" t="s">
        <v>1263</v>
      </c>
      <c r="AP3" s="16"/>
      <c r="AQ3" s="16"/>
      <c r="AR3" s="16" t="s">
        <v>1264</v>
      </c>
      <c r="AS3" s="16" t="s">
        <v>1265</v>
      </c>
      <c r="AT3" s="16"/>
      <c r="AU3" s="15" t="s">
        <v>1266</v>
      </c>
      <c r="AV3" s="16" t="s">
        <v>1267</v>
      </c>
      <c r="AW3" s="16" t="s">
        <v>1268</v>
      </c>
      <c r="AX3" s="16" t="s">
        <v>1269</v>
      </c>
      <c r="AY3" s="16" t="s">
        <v>1270</v>
      </c>
      <c r="AZ3" s="16" t="s">
        <v>1271</v>
      </c>
      <c r="BA3" s="16" t="s">
        <v>1272</v>
      </c>
      <c r="BB3" s="16"/>
      <c r="BC3" s="16" t="s">
        <v>1273</v>
      </c>
      <c r="BD3" s="16" t="s">
        <v>1274</v>
      </c>
      <c r="BE3" s="16"/>
      <c r="BF3" s="16"/>
    </row>
    <row r="4" spans="1:58" x14ac:dyDescent="0.25">
      <c r="A4" s="80" t="s">
        <v>85</v>
      </c>
      <c r="B4" s="24" t="s">
        <v>321</v>
      </c>
      <c r="C4" s="24" t="s">
        <v>322</v>
      </c>
      <c r="D4" s="24" t="s">
        <v>323</v>
      </c>
      <c r="E4" s="24" t="s">
        <v>324</v>
      </c>
      <c r="F4" s="24" t="s">
        <v>325</v>
      </c>
      <c r="G4" s="24" t="s">
        <v>326</v>
      </c>
      <c r="H4" s="25" t="s">
        <v>327</v>
      </c>
      <c r="I4" s="25" t="s">
        <v>328</v>
      </c>
      <c r="J4" s="24" t="s">
        <v>329</v>
      </c>
      <c r="K4" s="24" t="s">
        <v>330</v>
      </c>
      <c r="L4" s="24" t="s">
        <v>331</v>
      </c>
      <c r="M4" s="25" t="s">
        <v>332</v>
      </c>
      <c r="N4" s="25" t="s">
        <v>333</v>
      </c>
      <c r="O4" s="25" t="s">
        <v>334</v>
      </c>
      <c r="P4" s="25" t="s">
        <v>91</v>
      </c>
      <c r="Q4" s="24" t="s">
        <v>335</v>
      </c>
      <c r="R4" s="24" t="s">
        <v>336</v>
      </c>
      <c r="S4" s="24">
        <v>1851</v>
      </c>
      <c r="T4" s="24">
        <v>1852</v>
      </c>
      <c r="U4" s="24">
        <v>1853</v>
      </c>
      <c r="V4" s="25">
        <v>1854</v>
      </c>
      <c r="W4" s="24">
        <v>55</v>
      </c>
      <c r="X4" s="24">
        <v>1856</v>
      </c>
      <c r="Y4" s="24">
        <v>1857</v>
      </c>
      <c r="Z4" s="24">
        <v>1858</v>
      </c>
      <c r="AA4" s="24">
        <v>59</v>
      </c>
      <c r="AB4" s="24">
        <v>60</v>
      </c>
      <c r="AC4" s="24">
        <v>1861</v>
      </c>
      <c r="AD4" s="24">
        <v>1862</v>
      </c>
      <c r="AE4" s="24" t="s">
        <v>337</v>
      </c>
      <c r="AF4" s="24" t="s">
        <v>338</v>
      </c>
      <c r="AG4" s="24" t="s">
        <v>204</v>
      </c>
      <c r="AH4" s="24" t="s">
        <v>205</v>
      </c>
      <c r="AI4" s="24" t="s">
        <v>206</v>
      </c>
      <c r="AJ4" s="24" t="s">
        <v>207</v>
      </c>
      <c r="AK4" s="24" t="s">
        <v>208</v>
      </c>
      <c r="AL4" s="24" t="s">
        <v>209</v>
      </c>
      <c r="AM4" s="24" t="s">
        <v>210</v>
      </c>
      <c r="AN4" s="24" t="s">
        <v>211</v>
      </c>
      <c r="AO4" s="24" t="s">
        <v>212</v>
      </c>
      <c r="AP4" s="24" t="s">
        <v>339</v>
      </c>
      <c r="AQ4" s="24" t="s">
        <v>340</v>
      </c>
      <c r="AR4" s="24" t="s">
        <v>214</v>
      </c>
      <c r="AS4" s="24" t="s">
        <v>294</v>
      </c>
      <c r="AT4" s="24" t="s">
        <v>341</v>
      </c>
      <c r="AU4" s="25" t="s">
        <v>23</v>
      </c>
      <c r="AV4" s="24" t="s">
        <v>24</v>
      </c>
      <c r="AW4" s="24" t="s">
        <v>25</v>
      </c>
      <c r="AX4" s="24" t="s">
        <v>26</v>
      </c>
      <c r="AY4" s="24" t="s">
        <v>27</v>
      </c>
      <c r="AZ4" s="24" t="s">
        <v>28</v>
      </c>
      <c r="BA4" s="24" t="s">
        <v>29</v>
      </c>
      <c r="BB4" s="24" t="s">
        <v>342</v>
      </c>
      <c r="BC4" s="24" t="s">
        <v>31</v>
      </c>
      <c r="BD4" s="24" t="s">
        <v>32</v>
      </c>
      <c r="BE4" s="24" t="s">
        <v>343</v>
      </c>
      <c r="BF4" s="24" t="s">
        <v>344</v>
      </c>
    </row>
    <row r="5" spans="1:58" x14ac:dyDescent="0.25">
      <c r="A5" s="81" t="s">
        <v>86</v>
      </c>
      <c r="B5" s="16" t="s">
        <v>345</v>
      </c>
      <c r="C5" s="16"/>
      <c r="D5" s="16"/>
      <c r="E5" s="16" t="s">
        <v>346</v>
      </c>
      <c r="F5" s="16" t="s">
        <v>347</v>
      </c>
      <c r="G5" s="16" t="s">
        <v>348</v>
      </c>
      <c r="H5" s="16" t="s">
        <v>349</v>
      </c>
      <c r="I5" s="15" t="s">
        <v>350</v>
      </c>
      <c r="J5" s="16" t="s">
        <v>351</v>
      </c>
      <c r="K5" s="16" t="s">
        <v>352</v>
      </c>
      <c r="L5" s="16"/>
      <c r="M5" s="15" t="s">
        <v>353</v>
      </c>
      <c r="N5" s="15"/>
      <c r="O5" s="15"/>
      <c r="P5" s="15"/>
      <c r="Q5" s="16"/>
      <c r="R5" s="16" t="s">
        <v>354</v>
      </c>
      <c r="S5" s="16" t="s">
        <v>355</v>
      </c>
      <c r="T5" s="16" t="s">
        <v>356</v>
      </c>
      <c r="U5" s="16" t="s">
        <v>357</v>
      </c>
      <c r="V5" s="15" t="s">
        <v>358</v>
      </c>
      <c r="W5" s="16"/>
      <c r="X5" s="16" t="s">
        <v>359</v>
      </c>
      <c r="Y5" s="16" t="s">
        <v>360</v>
      </c>
      <c r="Z5" s="16" t="s">
        <v>361</v>
      </c>
      <c r="AA5" s="16"/>
      <c r="AB5" s="16"/>
      <c r="AC5" s="16" t="s">
        <v>362</v>
      </c>
      <c r="AD5" s="16" t="s">
        <v>362</v>
      </c>
      <c r="AE5" s="16" t="s">
        <v>363</v>
      </c>
      <c r="AF5" s="16"/>
      <c r="AG5" s="16" t="s">
        <v>364</v>
      </c>
      <c r="AH5" s="16" t="s">
        <v>365</v>
      </c>
      <c r="AI5" s="16" t="s">
        <v>366</v>
      </c>
      <c r="AJ5" s="16" t="s">
        <v>367</v>
      </c>
      <c r="AK5" s="16" t="s">
        <v>368</v>
      </c>
      <c r="AL5" s="22" t="s">
        <v>369</v>
      </c>
      <c r="AM5" s="16" t="s">
        <v>368</v>
      </c>
      <c r="AN5" s="16" t="s">
        <v>370</v>
      </c>
      <c r="AO5" s="16" t="s">
        <v>371</v>
      </c>
      <c r="AP5" s="16"/>
      <c r="AQ5" s="16"/>
      <c r="AR5" s="16" t="s">
        <v>372</v>
      </c>
      <c r="AS5" s="16" t="s">
        <v>373</v>
      </c>
      <c r="AT5" s="15"/>
      <c r="AU5" s="15" t="s">
        <v>374</v>
      </c>
      <c r="AV5" s="16" t="s">
        <v>375</v>
      </c>
      <c r="AW5" s="16" t="s">
        <v>376</v>
      </c>
      <c r="AX5" s="16" t="s">
        <v>377</v>
      </c>
      <c r="AY5" s="16" t="s">
        <v>378</v>
      </c>
      <c r="AZ5" s="16" t="s">
        <v>379</v>
      </c>
      <c r="BA5" s="16" t="s">
        <v>380</v>
      </c>
      <c r="BB5" s="16"/>
      <c r="BC5" s="16" t="s">
        <v>381</v>
      </c>
      <c r="BD5" s="16" t="s">
        <v>382</v>
      </c>
      <c r="BE5" s="16"/>
      <c r="BF5" s="16"/>
    </row>
    <row r="6" spans="1:58" x14ac:dyDescent="0.25">
      <c r="A6" s="79" t="s">
        <v>84</v>
      </c>
      <c r="B6" s="16" t="s">
        <v>70</v>
      </c>
      <c r="C6" s="16"/>
      <c r="D6" s="16"/>
      <c r="E6" s="16" t="s">
        <v>70</v>
      </c>
      <c r="F6" s="16" t="s">
        <v>70</v>
      </c>
      <c r="G6" s="16" t="s">
        <v>70</v>
      </c>
      <c r="H6" s="16" t="s">
        <v>70</v>
      </c>
      <c r="I6" s="15" t="s">
        <v>70</v>
      </c>
      <c r="J6" s="16" t="s">
        <v>452</v>
      </c>
      <c r="K6" s="16" t="s">
        <v>70</v>
      </c>
      <c r="L6" s="16"/>
      <c r="M6" s="15" t="s">
        <v>70</v>
      </c>
      <c r="N6" s="15"/>
      <c r="O6" s="15"/>
      <c r="P6" s="15"/>
      <c r="Q6" s="16"/>
      <c r="R6" s="16" t="s">
        <v>70</v>
      </c>
      <c r="S6" s="16" t="s">
        <v>383</v>
      </c>
      <c r="T6" s="16" t="s">
        <v>70</v>
      </c>
      <c r="U6" s="16" t="s">
        <v>70</v>
      </c>
      <c r="V6" s="15" t="s">
        <v>70</v>
      </c>
      <c r="W6" s="16"/>
      <c r="X6" s="16" t="s">
        <v>70</v>
      </c>
      <c r="Y6" s="16" t="s">
        <v>70</v>
      </c>
      <c r="Z6" s="16" t="s">
        <v>70</v>
      </c>
      <c r="AA6" s="16"/>
      <c r="AB6" s="16"/>
      <c r="AC6" s="16" t="s">
        <v>70</v>
      </c>
      <c r="AD6" s="39" t="s">
        <v>71</v>
      </c>
      <c r="AE6" s="16" t="s">
        <v>70</v>
      </c>
      <c r="AF6" s="16"/>
      <c r="AG6" s="16" t="s">
        <v>70</v>
      </c>
      <c r="AH6" s="16" t="s">
        <v>70</v>
      </c>
      <c r="AI6" s="16" t="s">
        <v>70</v>
      </c>
      <c r="AJ6" s="16" t="s">
        <v>70</v>
      </c>
      <c r="AK6" s="16" t="s">
        <v>70</v>
      </c>
      <c r="AL6" s="22" t="s">
        <v>70</v>
      </c>
      <c r="AM6" s="39" t="s">
        <v>71</v>
      </c>
      <c r="AN6" s="39" t="s">
        <v>71</v>
      </c>
      <c r="AO6" s="39" t="s">
        <v>71</v>
      </c>
      <c r="AP6" s="16"/>
      <c r="AQ6" s="16"/>
      <c r="AR6" s="39" t="s">
        <v>71</v>
      </c>
      <c r="AS6" s="39" t="s">
        <v>71</v>
      </c>
      <c r="AT6" s="16"/>
      <c r="AU6" s="39" t="s">
        <v>71</v>
      </c>
      <c r="AV6" s="16" t="s">
        <v>70</v>
      </c>
      <c r="AW6" s="39" t="s">
        <v>71</v>
      </c>
      <c r="AX6" s="39" t="s">
        <v>71</v>
      </c>
      <c r="AY6" s="39" t="s">
        <v>71</v>
      </c>
      <c r="AZ6" s="39" t="s">
        <v>71</v>
      </c>
      <c r="BA6" s="39" t="s">
        <v>71</v>
      </c>
      <c r="BB6" s="16" t="s">
        <v>5</v>
      </c>
      <c r="BC6" s="39" t="s">
        <v>71</v>
      </c>
      <c r="BD6" s="39" t="s">
        <v>71</v>
      </c>
      <c r="BE6" s="16" t="s">
        <v>5</v>
      </c>
      <c r="BF6" s="16" t="s">
        <v>5</v>
      </c>
    </row>
    <row r="7" spans="1:58" x14ac:dyDescent="0.25">
      <c r="A7" s="98"/>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9"/>
      <c r="BA7" s="13"/>
      <c r="BB7" s="13"/>
      <c r="BC7" s="28"/>
      <c r="BD7" s="29"/>
      <c r="BE7" s="17"/>
      <c r="BF7" s="17"/>
    </row>
    <row r="8" spans="1:58" x14ac:dyDescent="0.25">
      <c r="A8" s="82" t="s">
        <v>138</v>
      </c>
      <c r="B8" s="13">
        <v>214678</v>
      </c>
      <c r="C8" s="13"/>
      <c r="D8" s="13"/>
      <c r="E8" s="13">
        <v>1168968</v>
      </c>
      <c r="F8" s="13">
        <v>1029549</v>
      </c>
      <c r="G8" s="13">
        <v>1041697</v>
      </c>
      <c r="H8" s="13"/>
      <c r="I8" s="13">
        <v>504024</v>
      </c>
      <c r="J8" s="13">
        <v>418777</v>
      </c>
      <c r="K8" s="13">
        <v>363536</v>
      </c>
      <c r="L8" s="13"/>
      <c r="M8" s="96">
        <v>514180</v>
      </c>
      <c r="N8" s="96"/>
      <c r="O8" s="96"/>
      <c r="P8" s="96"/>
      <c r="Q8" s="96"/>
      <c r="R8" s="96">
        <v>1679314</v>
      </c>
      <c r="S8" s="13">
        <f>(R8/15)*12</f>
        <v>1343451.2</v>
      </c>
      <c r="T8" s="96">
        <v>65922</v>
      </c>
      <c r="U8" s="96">
        <v>46800</v>
      </c>
      <c r="V8" s="96">
        <v>398341</v>
      </c>
      <c r="W8" s="96"/>
      <c r="X8" s="96">
        <v>1245199</v>
      </c>
      <c r="Y8" s="96">
        <v>1828785</v>
      </c>
      <c r="Z8" s="96">
        <v>2551817</v>
      </c>
      <c r="AA8" s="13"/>
      <c r="AB8" s="13"/>
      <c r="AC8" s="13"/>
      <c r="AD8" s="13"/>
      <c r="AE8" s="13">
        <v>26172</v>
      </c>
      <c r="AF8" s="13"/>
      <c r="AG8" s="13">
        <v>1283863</v>
      </c>
      <c r="AH8" s="13">
        <v>5233227</v>
      </c>
      <c r="AI8" s="13">
        <v>8564178</v>
      </c>
      <c r="AJ8" s="13">
        <v>704112</v>
      </c>
      <c r="AK8" s="13">
        <v>13857097</v>
      </c>
      <c r="AL8" s="13">
        <v>1226284</v>
      </c>
      <c r="AM8" s="13">
        <v>1226281</v>
      </c>
      <c r="AN8" s="13"/>
      <c r="AO8" s="13"/>
      <c r="AP8" s="13"/>
      <c r="AQ8" s="13"/>
      <c r="AR8" s="13"/>
      <c r="AS8" s="13"/>
      <c r="AT8" s="13"/>
      <c r="AU8" s="13"/>
      <c r="AV8" s="13">
        <v>20157635</v>
      </c>
      <c r="AW8" s="13"/>
      <c r="AX8" s="13"/>
      <c r="AY8" s="13"/>
      <c r="AZ8" s="13">
        <v>35878852</v>
      </c>
      <c r="BA8" s="13"/>
      <c r="BB8" s="13"/>
      <c r="BC8" s="13"/>
      <c r="BD8" s="13"/>
      <c r="BE8" s="17"/>
      <c r="BF8" s="17"/>
    </row>
    <row r="9" spans="1:58" x14ac:dyDescent="0.25">
      <c r="A9" s="80" t="s">
        <v>674</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13"/>
      <c r="BA9" s="13"/>
      <c r="BB9" s="13"/>
      <c r="BC9" s="22"/>
      <c r="BD9" s="13"/>
      <c r="BE9" s="17"/>
      <c r="BF9" s="17"/>
    </row>
    <row r="10" spans="1:58" x14ac:dyDescent="0.25">
      <c r="A10" s="83" t="s">
        <v>139</v>
      </c>
      <c r="B10" s="96"/>
      <c r="C10" s="96"/>
      <c r="D10" s="96"/>
      <c r="E10" s="96"/>
      <c r="F10" s="96"/>
      <c r="G10" s="96"/>
      <c r="H10" s="96"/>
      <c r="I10" s="96"/>
      <c r="J10" s="96"/>
      <c r="K10" s="96"/>
      <c r="L10" s="96"/>
      <c r="M10" s="96"/>
      <c r="N10" s="96"/>
      <c r="O10" s="96"/>
      <c r="P10" s="96"/>
      <c r="Q10" s="96"/>
      <c r="R10" s="96"/>
      <c r="S10" s="96"/>
      <c r="T10" s="96"/>
      <c r="U10" s="96">
        <v>40000</v>
      </c>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18"/>
      <c r="AV10" s="18"/>
      <c r="AW10" s="18"/>
      <c r="AX10" s="18"/>
      <c r="AY10" s="18"/>
      <c r="AZ10" s="13"/>
      <c r="BA10" s="13"/>
      <c r="BB10" s="13"/>
      <c r="BC10" s="13"/>
      <c r="BD10" s="13"/>
      <c r="BE10" s="17"/>
      <c r="BF10" s="17"/>
    </row>
    <row r="11" spans="1:58" x14ac:dyDescent="0.25">
      <c r="A11" s="83" t="s">
        <v>140</v>
      </c>
      <c r="B11" s="96">
        <v>61250</v>
      </c>
      <c r="C11" s="96"/>
      <c r="D11" s="96"/>
      <c r="E11" s="96">
        <v>70800</v>
      </c>
      <c r="F11" s="96">
        <v>85800</v>
      </c>
      <c r="G11" s="96">
        <v>168970</v>
      </c>
      <c r="H11" s="96">
        <v>60050</v>
      </c>
      <c r="I11" s="96">
        <v>102600</v>
      </c>
      <c r="J11" s="96">
        <v>106550</v>
      </c>
      <c r="K11" s="96">
        <v>108200</v>
      </c>
      <c r="L11" s="96"/>
      <c r="M11" s="96">
        <v>120897</v>
      </c>
      <c r="N11" s="96"/>
      <c r="O11" s="96"/>
      <c r="P11" s="96"/>
      <c r="Q11" s="96"/>
      <c r="R11" s="96">
        <v>108250</v>
      </c>
      <c r="S11" s="13">
        <f>(R11/15)*12</f>
        <v>86600</v>
      </c>
      <c r="T11" s="96">
        <v>112000</v>
      </c>
      <c r="U11" s="96">
        <v>112100</v>
      </c>
      <c r="V11" s="96">
        <v>162100</v>
      </c>
      <c r="W11" s="96"/>
      <c r="X11" s="96">
        <v>163100</v>
      </c>
      <c r="Y11" s="96">
        <v>181000</v>
      </c>
      <c r="Z11" s="96">
        <v>476448</v>
      </c>
      <c r="AA11" s="96"/>
      <c r="AB11" s="96"/>
      <c r="AC11" s="96">
        <v>450000</v>
      </c>
      <c r="AD11" s="96">
        <v>400000</v>
      </c>
      <c r="AE11" s="96">
        <v>476750</v>
      </c>
      <c r="AF11" s="96"/>
      <c r="AG11" s="96">
        <v>447000</v>
      </c>
      <c r="AH11" s="96">
        <v>627500</v>
      </c>
      <c r="AI11" s="96">
        <v>731500</v>
      </c>
      <c r="AJ11" s="96">
        <v>1100500</v>
      </c>
      <c r="AK11" s="96">
        <v>764400</v>
      </c>
      <c r="AL11" s="96">
        <v>623000</v>
      </c>
      <c r="AM11" s="96">
        <v>900000</v>
      </c>
      <c r="AN11" s="96">
        <v>1000000</v>
      </c>
      <c r="AO11" s="96">
        <v>900000</v>
      </c>
      <c r="AP11" s="96"/>
      <c r="AQ11" s="96"/>
      <c r="AR11" s="96">
        <v>1000000</v>
      </c>
      <c r="AS11" s="96">
        <v>1000000</v>
      </c>
      <c r="AT11" s="96"/>
      <c r="AU11" s="18">
        <v>2500000</v>
      </c>
      <c r="AV11" s="18"/>
      <c r="AW11" s="18">
        <v>2000000</v>
      </c>
      <c r="AX11" s="18">
        <v>2000000</v>
      </c>
      <c r="AY11" s="18">
        <v>2000000</v>
      </c>
      <c r="AZ11" s="13">
        <v>2500000</v>
      </c>
      <c r="BA11" s="13">
        <v>2500000</v>
      </c>
      <c r="BB11" s="13"/>
      <c r="BC11" s="13">
        <v>2500000</v>
      </c>
      <c r="BD11" s="13">
        <v>2500000</v>
      </c>
      <c r="BE11" s="17"/>
      <c r="BF11" s="17"/>
    </row>
    <row r="12" spans="1:58" x14ac:dyDescent="0.25">
      <c r="A12" s="34" t="s">
        <v>957</v>
      </c>
      <c r="B12" s="96"/>
      <c r="C12" s="96"/>
      <c r="D12" s="96"/>
      <c r="E12" s="96"/>
      <c r="F12" s="96"/>
      <c r="G12" s="96"/>
      <c r="H12" s="96"/>
      <c r="I12" s="96"/>
      <c r="J12" s="96"/>
      <c r="K12" s="96"/>
      <c r="L12" s="96"/>
      <c r="M12" s="96"/>
      <c r="N12" s="96"/>
      <c r="O12" s="96"/>
      <c r="P12" s="96"/>
      <c r="Q12" s="96"/>
      <c r="R12" s="96"/>
      <c r="S12" s="96"/>
      <c r="T12" s="96"/>
      <c r="U12" s="96"/>
      <c r="V12" s="96"/>
      <c r="W12" s="96"/>
      <c r="X12" s="96"/>
      <c r="Y12" s="96"/>
      <c r="Z12" s="96">
        <v>327840</v>
      </c>
      <c r="AA12" s="96"/>
      <c r="AB12" s="96"/>
      <c r="AC12" s="96"/>
      <c r="AD12" s="96"/>
      <c r="AE12" s="96"/>
      <c r="AF12" s="96"/>
      <c r="AG12" s="96"/>
      <c r="AH12" s="96"/>
      <c r="AI12" s="96"/>
      <c r="AJ12" s="96"/>
      <c r="AK12" s="96"/>
      <c r="AL12" s="96"/>
      <c r="AM12" s="96"/>
      <c r="AN12" s="96"/>
      <c r="AO12" s="96"/>
      <c r="AP12" s="96"/>
      <c r="AQ12" s="96"/>
      <c r="AR12" s="96"/>
      <c r="AS12" s="96"/>
      <c r="AT12" s="96"/>
      <c r="AU12" s="18"/>
      <c r="AV12" s="18"/>
      <c r="AW12" s="18"/>
      <c r="AX12" s="18"/>
      <c r="AY12" s="18"/>
      <c r="AZ12" s="13"/>
      <c r="BA12" s="13"/>
      <c r="BB12" s="13"/>
      <c r="BC12" s="13"/>
      <c r="BD12" s="13"/>
      <c r="BE12" s="17"/>
      <c r="BF12" s="17"/>
    </row>
    <row r="13" spans="1:58" x14ac:dyDescent="0.25">
      <c r="A13" s="34" t="s">
        <v>429</v>
      </c>
      <c r="B13" s="96"/>
      <c r="C13" s="96"/>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29"/>
      <c r="AL13" s="96">
        <v>1665680</v>
      </c>
      <c r="AM13" s="96"/>
      <c r="AN13" s="96"/>
      <c r="AO13" s="96"/>
      <c r="AP13" s="96"/>
      <c r="AQ13" s="96"/>
      <c r="AR13" s="96"/>
      <c r="AS13" s="96"/>
      <c r="AT13" s="96"/>
      <c r="AU13" s="18">
        <v>2000000</v>
      </c>
      <c r="AV13" s="18">
        <v>2724120</v>
      </c>
      <c r="AW13" s="18">
        <v>2500000</v>
      </c>
      <c r="AX13" s="18">
        <v>2300000</v>
      </c>
      <c r="AY13" s="18">
        <v>2300000</v>
      </c>
      <c r="AZ13" s="18">
        <v>2300000</v>
      </c>
      <c r="BA13" s="18">
        <v>2600000</v>
      </c>
      <c r="BB13" s="13"/>
      <c r="BC13" s="18">
        <v>2600000</v>
      </c>
      <c r="BD13" s="18">
        <v>338000</v>
      </c>
      <c r="BE13" s="17"/>
      <c r="BF13" s="17"/>
    </row>
    <row r="14" spans="1:58" ht="30" x14ac:dyDescent="0.25">
      <c r="A14" s="34" t="s">
        <v>438</v>
      </c>
      <c r="B14" s="96"/>
      <c r="C14" s="96"/>
      <c r="D14" s="96"/>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18"/>
      <c r="AV14" s="18"/>
      <c r="AW14" s="18"/>
      <c r="AX14" s="18"/>
      <c r="AY14" s="18"/>
      <c r="AZ14" s="13">
        <v>22000000</v>
      </c>
      <c r="BA14" s="13">
        <v>22000000</v>
      </c>
      <c r="BB14" s="13"/>
      <c r="BC14" s="13"/>
      <c r="BD14" s="13">
        <v>18551000</v>
      </c>
      <c r="BE14" s="17"/>
      <c r="BF14" s="17"/>
    </row>
    <row r="15" spans="1:58" ht="30" x14ac:dyDescent="0.25">
      <c r="A15" s="34" t="s">
        <v>959</v>
      </c>
      <c r="B15" s="96"/>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v>2000000</v>
      </c>
      <c r="AE15" s="96"/>
      <c r="AF15" s="96"/>
      <c r="AG15" s="96">
        <v>2629441</v>
      </c>
      <c r="AH15" s="96">
        <v>4751733</v>
      </c>
      <c r="AI15" s="96">
        <v>4182175</v>
      </c>
      <c r="AJ15" s="96">
        <v>4631494</v>
      </c>
      <c r="AK15" s="96">
        <v>1718320</v>
      </c>
      <c r="AL15" s="96">
        <v>2837116</v>
      </c>
      <c r="AM15" s="96">
        <v>4600000</v>
      </c>
      <c r="AN15" s="96">
        <v>4600000</v>
      </c>
      <c r="AO15" s="96">
        <v>4600000</v>
      </c>
      <c r="AP15" s="96"/>
      <c r="AQ15" s="96"/>
      <c r="AR15" s="96">
        <v>7500000</v>
      </c>
      <c r="AS15" s="96">
        <v>7700000</v>
      </c>
      <c r="AT15" s="96"/>
      <c r="AU15" s="18"/>
      <c r="AV15" s="18"/>
      <c r="AW15" s="18"/>
      <c r="AX15" s="18"/>
      <c r="AY15" s="18"/>
      <c r="AZ15" s="18"/>
      <c r="BA15" s="18"/>
      <c r="BB15" s="13"/>
      <c r="BC15" s="18"/>
      <c r="BD15" s="18"/>
      <c r="BE15" s="17"/>
      <c r="BF15" s="17"/>
    </row>
    <row r="16" spans="1:58" x14ac:dyDescent="0.25">
      <c r="A16" s="34" t="s">
        <v>960</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c r="AU16" s="18">
        <v>1000000</v>
      </c>
      <c r="AV16" s="18"/>
      <c r="AW16" s="18"/>
      <c r="AX16" s="18"/>
      <c r="AY16" s="18"/>
      <c r="AZ16" s="13"/>
      <c r="BA16" s="13"/>
      <c r="BB16" s="13"/>
      <c r="BC16" s="13"/>
      <c r="BD16" s="13"/>
      <c r="BE16" s="17"/>
      <c r="BF16" s="17"/>
    </row>
    <row r="17" spans="1:58" x14ac:dyDescent="0.25">
      <c r="A17" s="35" t="s">
        <v>430</v>
      </c>
      <c r="B17" s="96"/>
      <c r="C17" s="96"/>
      <c r="D17" s="96"/>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18">
        <v>1300000</v>
      </c>
      <c r="AV17" s="18"/>
      <c r="AW17" s="18">
        <v>1300000</v>
      </c>
      <c r="AX17" s="18">
        <v>1700000</v>
      </c>
      <c r="AY17" s="18">
        <v>1700000</v>
      </c>
      <c r="AZ17" s="18">
        <v>1700000</v>
      </c>
      <c r="BA17" s="18">
        <v>2000000</v>
      </c>
      <c r="BB17" s="13"/>
      <c r="BC17" s="18">
        <v>2000000</v>
      </c>
      <c r="BD17" s="18">
        <v>192800</v>
      </c>
      <c r="BE17" s="17"/>
      <c r="BF17" s="17"/>
    </row>
    <row r="18" spans="1:58" x14ac:dyDescent="0.25">
      <c r="A18" s="35" t="s">
        <v>431</v>
      </c>
      <c r="B18" s="96"/>
      <c r="C18" s="96"/>
      <c r="D18" s="96"/>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18"/>
      <c r="AV18" s="18">
        <v>1895040</v>
      </c>
      <c r="AW18" s="18"/>
      <c r="AX18" s="18"/>
      <c r="AY18" s="18"/>
      <c r="AZ18" s="18"/>
      <c r="BA18" s="18"/>
      <c r="BB18" s="13"/>
      <c r="BC18" s="18"/>
      <c r="BD18" s="18"/>
      <c r="BE18" s="17"/>
      <c r="BF18" s="17"/>
    </row>
    <row r="19" spans="1:58" x14ac:dyDescent="0.25">
      <c r="A19" s="34" t="s">
        <v>265</v>
      </c>
      <c r="B19" s="96"/>
      <c r="C19" s="96"/>
      <c r="D19" s="96"/>
      <c r="E19" s="96"/>
      <c r="F19" s="96"/>
      <c r="G19" s="96"/>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18">
        <v>200000</v>
      </c>
      <c r="AV19" s="18"/>
      <c r="AW19" s="18"/>
      <c r="AX19" s="18"/>
      <c r="AY19" s="18"/>
      <c r="AZ19" s="13"/>
      <c r="BA19" s="13"/>
      <c r="BB19" s="13"/>
      <c r="BC19" s="13"/>
      <c r="BD19" s="13"/>
      <c r="BE19" s="17"/>
      <c r="BF19" s="17"/>
    </row>
    <row r="20" spans="1:58" ht="30" x14ac:dyDescent="0.25">
      <c r="A20" s="34" t="s">
        <v>961</v>
      </c>
      <c r="B20" s="96"/>
      <c r="C20" s="96"/>
      <c r="D20" s="96"/>
      <c r="E20" s="96"/>
      <c r="F20" s="96"/>
      <c r="G20" s="96"/>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96"/>
      <c r="AL20" s="96"/>
      <c r="AM20" s="96"/>
      <c r="AN20" s="96"/>
      <c r="AO20" s="96"/>
      <c r="AP20" s="96"/>
      <c r="AQ20" s="96"/>
      <c r="AR20" s="96">
        <v>402000</v>
      </c>
      <c r="AS20" s="96">
        <v>410000</v>
      </c>
      <c r="AT20" s="96"/>
      <c r="AU20" s="18">
        <v>1500000</v>
      </c>
      <c r="AV20" s="18"/>
      <c r="AW20" s="18">
        <v>1500000</v>
      </c>
      <c r="AX20" s="18"/>
      <c r="AY20" s="18"/>
      <c r="AZ20" s="13"/>
      <c r="BA20" s="13"/>
      <c r="BB20" s="13"/>
      <c r="BC20" s="13">
        <v>12000000</v>
      </c>
      <c r="BD20" s="13">
        <f>2332000+2000000</f>
        <v>4332000</v>
      </c>
      <c r="BE20" s="17"/>
      <c r="BF20" s="17"/>
    </row>
    <row r="21" spans="1:58" x14ac:dyDescent="0.25">
      <c r="A21" s="35" t="s">
        <v>962</v>
      </c>
      <c r="B21" s="96">
        <v>71550</v>
      </c>
      <c r="C21" s="96"/>
      <c r="D21" s="96"/>
      <c r="E21" s="96">
        <v>120300</v>
      </c>
      <c r="F21" s="96">
        <v>131500</v>
      </c>
      <c r="G21" s="96">
        <v>150370</v>
      </c>
      <c r="H21" s="96">
        <v>74000</v>
      </c>
      <c r="I21" s="96">
        <v>100050</v>
      </c>
      <c r="J21" s="96">
        <v>101050</v>
      </c>
      <c r="K21" s="96"/>
      <c r="L21" s="96"/>
      <c r="M21" s="96"/>
      <c r="N21" s="96"/>
      <c r="O21" s="96"/>
      <c r="P21" s="96"/>
      <c r="Q21" s="96"/>
      <c r="R21" s="96">
        <v>154000</v>
      </c>
      <c r="S21" s="13">
        <f>(R21/15)*12</f>
        <v>123200</v>
      </c>
      <c r="T21" s="96">
        <v>221100</v>
      </c>
      <c r="U21" s="96">
        <v>78700</v>
      </c>
      <c r="V21" s="96">
        <v>200100</v>
      </c>
      <c r="W21" s="96"/>
      <c r="X21" s="96">
        <v>250300</v>
      </c>
      <c r="Y21" s="96">
        <v>290000</v>
      </c>
      <c r="Z21" s="96">
        <v>1214970</v>
      </c>
      <c r="AA21" s="96"/>
      <c r="AB21" s="96"/>
      <c r="AC21" s="96">
        <v>1700000</v>
      </c>
      <c r="AD21" s="96">
        <v>1100000</v>
      </c>
      <c r="AE21" s="96">
        <v>1130050</v>
      </c>
      <c r="AF21" s="96"/>
      <c r="AG21" s="96">
        <v>1377500</v>
      </c>
      <c r="AH21" s="96">
        <v>1492500</v>
      </c>
      <c r="AI21" s="96">
        <v>1565500</v>
      </c>
      <c r="AJ21" s="96">
        <v>1053000</v>
      </c>
      <c r="AK21" s="96">
        <v>1478500</v>
      </c>
      <c r="AL21" s="96">
        <v>1970000</v>
      </c>
      <c r="AM21" s="96">
        <v>2000000</v>
      </c>
      <c r="AN21" s="96">
        <v>2550000</v>
      </c>
      <c r="AO21" s="96">
        <v>2550000</v>
      </c>
      <c r="AP21" s="96"/>
      <c r="AQ21" s="96"/>
      <c r="AR21" s="96">
        <v>2800000</v>
      </c>
      <c r="AS21" s="96">
        <v>2800000</v>
      </c>
      <c r="AT21" s="96"/>
      <c r="AU21" s="18"/>
      <c r="AV21" s="18">
        <v>9001520</v>
      </c>
      <c r="AW21" s="18"/>
      <c r="AX21" s="18">
        <v>6000000</v>
      </c>
      <c r="AY21" s="18">
        <v>6000000</v>
      </c>
      <c r="AZ21" s="18">
        <v>6000000</v>
      </c>
      <c r="BA21" s="13">
        <v>8500000</v>
      </c>
      <c r="BB21" s="13"/>
      <c r="BC21" s="13">
        <f>12500000+11600000+2000000</f>
        <v>26100000</v>
      </c>
      <c r="BD21" s="13">
        <f>8696800+11600000</f>
        <v>20296800</v>
      </c>
      <c r="BE21" s="17"/>
      <c r="BF21" s="17"/>
    </row>
    <row r="22" spans="1:58" ht="30" x14ac:dyDescent="0.25">
      <c r="A22" s="35" t="s">
        <v>963</v>
      </c>
      <c r="B22" s="96"/>
      <c r="C22" s="96"/>
      <c r="D22" s="96"/>
      <c r="E22" s="96"/>
      <c r="F22" s="96"/>
      <c r="G22" s="96"/>
      <c r="H22" s="96"/>
      <c r="I22" s="96"/>
      <c r="J22" s="96"/>
      <c r="K22" s="96">
        <v>291669</v>
      </c>
      <c r="L22" s="96"/>
      <c r="M22" s="96">
        <v>169350</v>
      </c>
      <c r="N22" s="96"/>
      <c r="O22" s="96"/>
      <c r="P22" s="96"/>
      <c r="Q22" s="96"/>
      <c r="R22" s="96"/>
      <c r="S22" s="13"/>
      <c r="T22" s="96"/>
      <c r="U22" s="96"/>
      <c r="V22" s="96"/>
      <c r="W22" s="96"/>
      <c r="X22" s="96"/>
      <c r="Y22" s="96"/>
      <c r="Z22" s="96"/>
      <c r="AA22" s="96"/>
      <c r="AB22" s="96"/>
      <c r="AC22" s="96"/>
      <c r="AD22" s="96"/>
      <c r="AE22" s="96"/>
      <c r="AF22" s="96"/>
      <c r="AG22" s="96"/>
      <c r="AH22" s="96"/>
      <c r="AI22" s="96"/>
      <c r="AJ22" s="96"/>
      <c r="AK22" s="96"/>
      <c r="AL22" s="96"/>
      <c r="AM22" s="96"/>
      <c r="AN22" s="96"/>
      <c r="AO22" s="96"/>
      <c r="AP22" s="96"/>
      <c r="AQ22" s="96"/>
      <c r="AR22" s="96"/>
      <c r="AS22" s="96"/>
      <c r="AT22" s="96"/>
      <c r="AU22" s="18"/>
      <c r="AV22" s="18"/>
      <c r="AW22" s="18"/>
      <c r="AX22" s="18"/>
      <c r="AY22" s="18"/>
      <c r="AZ22" s="18"/>
      <c r="BA22" s="13"/>
      <c r="BB22" s="13"/>
      <c r="BC22" s="13"/>
      <c r="BD22" s="13"/>
      <c r="BE22" s="17"/>
      <c r="BF22" s="17"/>
    </row>
    <row r="23" spans="1:58" x14ac:dyDescent="0.25">
      <c r="A23" s="34" t="s">
        <v>964</v>
      </c>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96"/>
      <c r="AQ23" s="96"/>
      <c r="AR23" s="96"/>
      <c r="AS23" s="96"/>
      <c r="AT23" s="96"/>
      <c r="AU23" s="18">
        <v>100000</v>
      </c>
      <c r="AV23" s="18"/>
      <c r="AW23" s="18">
        <v>120000</v>
      </c>
      <c r="AX23" s="18"/>
      <c r="AY23" s="18"/>
      <c r="AZ23" s="13"/>
      <c r="BA23" s="13"/>
      <c r="BB23" s="13"/>
      <c r="BC23" s="13"/>
      <c r="BD23" s="13"/>
      <c r="BE23" s="17"/>
      <c r="BF23" s="17"/>
    </row>
    <row r="24" spans="1:58" x14ac:dyDescent="0.25">
      <c r="A24" s="34" t="s">
        <v>433</v>
      </c>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v>1030000</v>
      </c>
      <c r="AP24" s="96"/>
      <c r="AQ24" s="96"/>
      <c r="AR24" s="96"/>
      <c r="AS24" s="96"/>
      <c r="AT24" s="96"/>
      <c r="AU24" s="18"/>
      <c r="AV24" s="18"/>
      <c r="AW24" s="18"/>
      <c r="AX24" s="18"/>
      <c r="AY24" s="18"/>
      <c r="AZ24" s="13"/>
      <c r="BA24" s="13"/>
      <c r="BB24" s="13"/>
      <c r="BC24" s="13"/>
      <c r="BD24" s="13"/>
      <c r="BE24" s="17"/>
      <c r="BF24" s="17"/>
    </row>
    <row r="25" spans="1:58" x14ac:dyDescent="0.25">
      <c r="A25" s="83" t="s">
        <v>903</v>
      </c>
      <c r="B25" s="96"/>
      <c r="C25" s="96"/>
      <c r="D25" s="96"/>
      <c r="E25" s="96"/>
      <c r="F25" s="96"/>
      <c r="G25" s="96"/>
      <c r="H25" s="96"/>
      <c r="I25" s="96"/>
      <c r="J25" s="96"/>
      <c r="K25" s="96"/>
      <c r="L25" s="96"/>
      <c r="M25" s="96"/>
      <c r="N25" s="96"/>
      <c r="O25" s="96"/>
      <c r="P25" s="96"/>
      <c r="Q25" s="96"/>
      <c r="R25" s="96"/>
      <c r="S25" s="96"/>
      <c r="T25" s="96"/>
      <c r="U25" s="96"/>
      <c r="V25" s="96"/>
      <c r="W25" s="96"/>
      <c r="X25" s="96"/>
      <c r="Y25" s="96"/>
      <c r="Z25" s="96">
        <v>707405</v>
      </c>
      <c r="AA25" s="96"/>
      <c r="AB25" s="96"/>
      <c r="AC25" s="96">
        <v>2000000</v>
      </c>
      <c r="AD25" s="96"/>
      <c r="AE25" s="96">
        <v>3101749</v>
      </c>
      <c r="AF25" s="96"/>
      <c r="AG25" s="96"/>
      <c r="AH25" s="96"/>
      <c r="AI25" s="96"/>
      <c r="AJ25" s="96"/>
      <c r="AK25" s="96">
        <v>3297370</v>
      </c>
      <c r="AL25" s="96"/>
      <c r="AM25" s="96"/>
      <c r="AN25" s="96"/>
      <c r="AO25" s="96"/>
      <c r="AP25" s="96"/>
      <c r="AQ25" s="96"/>
      <c r="AR25" s="96"/>
      <c r="AS25" s="96"/>
      <c r="AT25" s="96"/>
      <c r="AU25" s="18">
        <v>14000000</v>
      </c>
      <c r="AV25" s="18">
        <v>9493257</v>
      </c>
      <c r="AW25" s="18">
        <v>14000000</v>
      </c>
      <c r="AX25" s="18">
        <v>10000000</v>
      </c>
      <c r="AY25" s="18">
        <v>10000000</v>
      </c>
      <c r="AZ25" s="18">
        <v>10500000</v>
      </c>
      <c r="BA25" s="18">
        <v>11200000</v>
      </c>
      <c r="BB25" s="13"/>
      <c r="BC25" s="18">
        <v>20200000</v>
      </c>
      <c r="BD25" s="18">
        <v>14273600</v>
      </c>
      <c r="BE25" s="17"/>
      <c r="BF25" s="17"/>
    </row>
    <row r="26" spans="1:58" x14ac:dyDescent="0.25">
      <c r="A26" s="34" t="s">
        <v>965</v>
      </c>
      <c r="B26" s="96"/>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v>810000</v>
      </c>
      <c r="AF26" s="96"/>
      <c r="AG26" s="96">
        <v>751500</v>
      </c>
      <c r="AH26" s="96">
        <v>912500</v>
      </c>
      <c r="AI26" s="96">
        <v>1215000</v>
      </c>
      <c r="AJ26" s="96">
        <v>1430500</v>
      </c>
      <c r="AK26" s="96"/>
      <c r="AL26" s="96"/>
      <c r="AM26" s="96"/>
      <c r="AN26" s="96"/>
      <c r="AO26" s="96"/>
      <c r="AP26" s="96"/>
      <c r="AQ26" s="96"/>
      <c r="AR26" s="96"/>
      <c r="AS26" s="96"/>
      <c r="AT26" s="96"/>
      <c r="AU26" s="18">
        <v>4500000</v>
      </c>
      <c r="AV26" s="18">
        <v>6968460</v>
      </c>
      <c r="AW26" s="18">
        <v>4500000</v>
      </c>
      <c r="AX26" s="18"/>
      <c r="AY26" s="18"/>
      <c r="AZ26" s="13"/>
      <c r="BA26" s="13"/>
      <c r="BB26" s="13"/>
      <c r="BC26" s="13"/>
      <c r="BD26" s="13"/>
      <c r="BE26" s="17"/>
      <c r="BF26" s="17"/>
    </row>
    <row r="27" spans="1:58" ht="30" x14ac:dyDescent="0.25">
      <c r="A27" s="34" t="s">
        <v>966</v>
      </c>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96"/>
      <c r="AL27" s="96">
        <v>1165000</v>
      </c>
      <c r="AM27" s="96"/>
      <c r="AN27" s="96"/>
      <c r="AO27" s="96"/>
      <c r="AP27" s="96"/>
      <c r="AQ27" s="96"/>
      <c r="AR27" s="96"/>
      <c r="AS27" s="96"/>
      <c r="AT27" s="96"/>
      <c r="AU27" s="18">
        <v>200000</v>
      </c>
      <c r="AV27" s="18"/>
      <c r="AW27" s="18">
        <v>200000</v>
      </c>
      <c r="AX27" s="18"/>
      <c r="AY27" s="18"/>
      <c r="AZ27" s="13"/>
      <c r="BA27" s="13"/>
      <c r="BB27" s="13"/>
      <c r="BC27" s="13"/>
      <c r="BD27" s="13"/>
      <c r="BE27" s="17"/>
      <c r="BF27" s="17"/>
    </row>
    <row r="28" spans="1:58" x14ac:dyDescent="0.25">
      <c r="A28" s="34" t="s">
        <v>435</v>
      </c>
      <c r="B28" s="96"/>
      <c r="C28" s="96"/>
      <c r="D28" s="96"/>
      <c r="E28" s="96"/>
      <c r="F28" s="96"/>
      <c r="G28" s="96"/>
      <c r="H28" s="96"/>
      <c r="I28" s="96"/>
      <c r="J28" s="96"/>
      <c r="K28" s="96"/>
      <c r="L28" s="96"/>
      <c r="M28" s="96"/>
      <c r="N28" s="96"/>
      <c r="O28" s="96"/>
      <c r="P28" s="96"/>
      <c r="Q28" s="96"/>
      <c r="R28" s="96"/>
      <c r="S28" s="96"/>
      <c r="T28" s="96"/>
      <c r="U28" s="96"/>
      <c r="V28" s="96"/>
      <c r="W28" s="96"/>
      <c r="X28" s="96">
        <v>294600</v>
      </c>
      <c r="Y28" s="96">
        <v>298000</v>
      </c>
      <c r="Z28" s="96">
        <v>310300</v>
      </c>
      <c r="AA28" s="96"/>
      <c r="AB28" s="96"/>
      <c r="AC28" s="96">
        <v>820000</v>
      </c>
      <c r="AD28" s="96">
        <v>500000</v>
      </c>
      <c r="AE28" s="96"/>
      <c r="AF28" s="96"/>
      <c r="AG28" s="96"/>
      <c r="AH28" s="96"/>
      <c r="AI28" s="96"/>
      <c r="AJ28" s="96"/>
      <c r="AK28" s="96">
        <v>1302000</v>
      </c>
      <c r="AL28" s="96"/>
      <c r="AM28" s="96">
        <v>1280000</v>
      </c>
      <c r="AN28" s="96">
        <v>1280000</v>
      </c>
      <c r="AO28" s="96">
        <v>2013000</v>
      </c>
      <c r="AP28" s="96"/>
      <c r="AQ28" s="96"/>
      <c r="AR28" s="96">
        <v>5200000</v>
      </c>
      <c r="AS28" s="96">
        <v>4000000</v>
      </c>
      <c r="AT28" s="96"/>
      <c r="AU28" s="18"/>
      <c r="AV28" s="18"/>
      <c r="AW28" s="18"/>
      <c r="AX28" s="18"/>
      <c r="AY28" s="18"/>
      <c r="AZ28" s="13"/>
      <c r="BA28" s="13"/>
      <c r="BB28" s="13"/>
      <c r="BC28" s="13"/>
      <c r="BD28" s="13"/>
      <c r="BE28" s="17"/>
      <c r="BF28" s="17"/>
    </row>
    <row r="29" spans="1:58" x14ac:dyDescent="0.25">
      <c r="A29" s="34" t="s">
        <v>967</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18">
        <v>2000000</v>
      </c>
      <c r="AV29" s="18">
        <v>19446000</v>
      </c>
      <c r="AW29" s="18"/>
      <c r="AX29" s="18"/>
      <c r="AY29" s="18"/>
      <c r="AZ29" s="13"/>
      <c r="BA29" s="13"/>
      <c r="BB29" s="13"/>
      <c r="BC29" s="13"/>
      <c r="BD29" s="13"/>
      <c r="BE29" s="17"/>
      <c r="BF29" s="17"/>
    </row>
    <row r="30" spans="1:58" x14ac:dyDescent="0.25">
      <c r="A30" s="34" t="s">
        <v>968</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6"/>
      <c r="AL30" s="96"/>
      <c r="AM30" s="96"/>
      <c r="AN30" s="96"/>
      <c r="AO30" s="96"/>
      <c r="AP30" s="96"/>
      <c r="AQ30" s="96"/>
      <c r="AR30" s="96"/>
      <c r="AS30" s="96"/>
      <c r="AT30" s="96"/>
      <c r="AU30" s="18">
        <v>500000</v>
      </c>
      <c r="AV30" s="18"/>
      <c r="AW30" s="18">
        <v>500000</v>
      </c>
      <c r="AX30" s="18"/>
      <c r="AY30" s="18"/>
      <c r="AZ30" s="13"/>
      <c r="BA30" s="13"/>
      <c r="BB30" s="13"/>
      <c r="BC30" s="13"/>
      <c r="BD30" s="13"/>
      <c r="BE30" s="17"/>
      <c r="BF30" s="17"/>
    </row>
    <row r="31" spans="1:58" ht="15" customHeight="1" x14ac:dyDescent="0.25">
      <c r="A31" s="34" t="s">
        <v>969</v>
      </c>
      <c r="B31" s="96">
        <v>56500</v>
      </c>
      <c r="C31" s="96"/>
      <c r="D31" s="96"/>
      <c r="E31" s="96">
        <v>142100</v>
      </c>
      <c r="F31" s="96">
        <v>142850</v>
      </c>
      <c r="G31" s="96">
        <v>98230</v>
      </c>
      <c r="H31" s="96">
        <v>70240</v>
      </c>
      <c r="I31" s="96">
        <v>97360</v>
      </c>
      <c r="J31" s="96">
        <v>105920</v>
      </c>
      <c r="K31" s="96"/>
      <c r="L31" s="96"/>
      <c r="M31" s="96">
        <v>199540</v>
      </c>
      <c r="N31" s="96"/>
      <c r="O31" s="96"/>
      <c r="P31" s="96"/>
      <c r="Q31" s="96"/>
      <c r="R31" s="96">
        <v>146100</v>
      </c>
      <c r="S31" s="13">
        <f>(R31/15)*12</f>
        <v>116880</v>
      </c>
      <c r="T31" s="96">
        <v>147000</v>
      </c>
      <c r="U31" s="96">
        <v>147100</v>
      </c>
      <c r="V31" s="96">
        <v>241100</v>
      </c>
      <c r="W31" s="96"/>
      <c r="X31" s="96">
        <v>342100</v>
      </c>
      <c r="Y31" s="96">
        <v>294400</v>
      </c>
      <c r="Z31" s="96">
        <v>654000</v>
      </c>
      <c r="AA31" s="96"/>
      <c r="AB31" s="96"/>
      <c r="AC31" s="96">
        <v>675000</v>
      </c>
      <c r="AD31" s="96">
        <v>670000</v>
      </c>
      <c r="AE31" s="96">
        <v>814900</v>
      </c>
      <c r="AF31" s="96"/>
      <c r="AG31" s="96">
        <v>1605500</v>
      </c>
      <c r="AH31" s="96">
        <v>1717500</v>
      </c>
      <c r="AI31" s="96">
        <v>1518000</v>
      </c>
      <c r="AJ31" s="96">
        <v>1452500</v>
      </c>
      <c r="AK31" s="96">
        <v>1426500</v>
      </c>
      <c r="AL31" s="96">
        <v>1760500</v>
      </c>
      <c r="AM31" s="96">
        <v>2002000</v>
      </c>
      <c r="AN31" s="96">
        <v>2701000</v>
      </c>
      <c r="AO31" s="96"/>
      <c r="AP31" s="96"/>
      <c r="AQ31" s="96"/>
      <c r="AR31" s="96"/>
      <c r="AS31" s="96"/>
      <c r="AT31" s="96"/>
      <c r="AU31" s="18"/>
      <c r="AV31" s="18"/>
      <c r="AW31" s="18"/>
      <c r="AX31" s="18"/>
      <c r="AY31" s="18"/>
      <c r="AZ31" s="13"/>
      <c r="BA31" s="13"/>
      <c r="BB31" s="13"/>
      <c r="BC31" s="13"/>
      <c r="BD31" s="13"/>
      <c r="BE31" s="17"/>
      <c r="BF31" s="17"/>
    </row>
    <row r="32" spans="1:58" x14ac:dyDescent="0.25">
      <c r="A32" s="34" t="s">
        <v>436</v>
      </c>
      <c r="B32" s="96"/>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18">
        <v>400000</v>
      </c>
      <c r="AV32" s="18"/>
      <c r="AW32" s="18">
        <v>400000</v>
      </c>
      <c r="AX32" s="18"/>
      <c r="AY32" s="18"/>
      <c r="AZ32" s="13"/>
      <c r="BA32" s="13"/>
      <c r="BB32" s="13"/>
      <c r="BC32" s="13"/>
      <c r="BD32" s="13"/>
      <c r="BE32" s="17"/>
      <c r="BF32" s="17"/>
    </row>
    <row r="33" spans="1:58" ht="15" customHeight="1" x14ac:dyDescent="0.25">
      <c r="A33" s="34" t="s">
        <v>970</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c r="AU33" s="18">
        <v>300000</v>
      </c>
      <c r="AV33" s="18"/>
      <c r="AW33" s="18">
        <v>250000</v>
      </c>
      <c r="AX33" s="18"/>
      <c r="AY33" s="18"/>
      <c r="AZ33" s="13"/>
      <c r="BA33" s="13"/>
      <c r="BB33" s="13"/>
      <c r="BC33" s="13"/>
      <c r="BD33" s="13"/>
      <c r="BE33" s="17"/>
      <c r="BF33" s="17"/>
    </row>
    <row r="34" spans="1:58" x14ac:dyDescent="0.25">
      <c r="A34" s="34" t="s">
        <v>971</v>
      </c>
      <c r="B34" s="96"/>
      <c r="C34" s="96"/>
      <c r="D34" s="96"/>
      <c r="E34" s="96"/>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18">
        <v>1300000</v>
      </c>
      <c r="AV34" s="18"/>
      <c r="AW34" s="18">
        <v>1200000</v>
      </c>
      <c r="AX34" s="18"/>
      <c r="AY34" s="18"/>
      <c r="AZ34" s="13"/>
      <c r="BA34" s="13"/>
      <c r="BB34" s="13"/>
      <c r="BC34" s="13"/>
      <c r="BD34" s="13"/>
      <c r="BE34" s="17"/>
      <c r="BF34" s="17"/>
    </row>
    <row r="35" spans="1:58" x14ac:dyDescent="0.25">
      <c r="A35" s="34" t="s">
        <v>443</v>
      </c>
      <c r="B35" s="96"/>
      <c r="C35" s="96"/>
      <c r="D35" s="96"/>
      <c r="E35" s="96"/>
      <c r="F35" s="96"/>
      <c r="G35" s="96"/>
      <c r="H35" s="96"/>
      <c r="I35" s="96"/>
      <c r="J35" s="96"/>
      <c r="K35" s="96">
        <v>23940</v>
      </c>
      <c r="L35" s="96"/>
      <c r="M35" s="96"/>
      <c r="N35" s="96"/>
      <c r="O35" s="96"/>
      <c r="P35" s="96"/>
      <c r="Q35" s="96"/>
      <c r="R35" s="96"/>
      <c r="S35" s="96"/>
      <c r="T35" s="96">
        <v>1200</v>
      </c>
      <c r="U35" s="96"/>
      <c r="V35" s="96"/>
      <c r="W35" s="96"/>
      <c r="X35" s="96"/>
      <c r="Y35" s="96">
        <v>890980</v>
      </c>
      <c r="Z35" s="96"/>
      <c r="AA35" s="96"/>
      <c r="AB35" s="96"/>
      <c r="AC35" s="96"/>
      <c r="AD35" s="96"/>
      <c r="AE35" s="96"/>
      <c r="AF35" s="96"/>
      <c r="AG35" s="96"/>
      <c r="AH35" s="96"/>
      <c r="AI35" s="96"/>
      <c r="AJ35" s="96"/>
      <c r="AK35" s="96"/>
      <c r="AL35" s="96">
        <v>244400</v>
      </c>
      <c r="AM35" s="96"/>
      <c r="AN35" s="96"/>
      <c r="AO35" s="96"/>
      <c r="AP35" s="96"/>
      <c r="AQ35" s="96"/>
      <c r="AR35" s="96"/>
      <c r="AS35" s="96"/>
      <c r="AT35" s="96"/>
      <c r="AU35" s="18"/>
      <c r="AV35" s="18"/>
      <c r="AW35" s="18"/>
      <c r="AX35" s="18"/>
      <c r="AY35" s="18"/>
      <c r="AZ35" s="13"/>
      <c r="BA35" s="13"/>
      <c r="BB35" s="13"/>
      <c r="BC35" s="13">
        <v>400000</v>
      </c>
      <c r="BD35" s="13">
        <v>400000</v>
      </c>
      <c r="BE35" s="17"/>
      <c r="BF35" s="17"/>
    </row>
    <row r="36" spans="1:58" x14ac:dyDescent="0.25">
      <c r="A36" s="34" t="s">
        <v>972</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18">
        <v>600000</v>
      </c>
      <c r="AV36" s="18">
        <v>4914320</v>
      </c>
      <c r="AW36" s="18">
        <v>600000</v>
      </c>
      <c r="AX36" s="18">
        <v>1600000</v>
      </c>
      <c r="AY36" s="18"/>
      <c r="AZ36" s="13"/>
      <c r="BA36" s="13"/>
      <c r="BB36" s="13"/>
      <c r="BC36" s="13"/>
      <c r="BD36" s="13"/>
      <c r="BE36" s="17"/>
      <c r="BF36" s="17"/>
    </row>
    <row r="37" spans="1:58" x14ac:dyDescent="0.25">
      <c r="A37" s="34" t="s">
        <v>440</v>
      </c>
      <c r="B37" s="96"/>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96"/>
      <c r="AJ37" s="96"/>
      <c r="AK37" s="96"/>
      <c r="AL37" s="96"/>
      <c r="AM37" s="96"/>
      <c r="AN37" s="96"/>
      <c r="AO37" s="96"/>
      <c r="AP37" s="96"/>
      <c r="AQ37" s="96"/>
      <c r="AR37" s="96"/>
      <c r="AS37" s="96"/>
      <c r="AT37" s="96"/>
      <c r="AU37" s="18">
        <v>200000</v>
      </c>
      <c r="AV37" s="18"/>
      <c r="AW37" s="18">
        <v>200000</v>
      </c>
      <c r="AX37" s="18"/>
      <c r="AY37" s="18"/>
      <c r="AZ37" s="13"/>
      <c r="BA37" s="13"/>
      <c r="BB37" s="13"/>
      <c r="BC37" s="13"/>
      <c r="BD37" s="13"/>
      <c r="BE37" s="17"/>
      <c r="BF37" s="17"/>
    </row>
    <row r="38" spans="1:58" x14ac:dyDescent="0.25">
      <c r="A38" s="34" t="s">
        <v>1372</v>
      </c>
      <c r="B38" s="96"/>
      <c r="C38" s="96"/>
      <c r="D38" s="96"/>
      <c r="E38" s="96"/>
      <c r="F38" s="96"/>
      <c r="G38" s="96"/>
      <c r="H38" s="96"/>
      <c r="I38" s="96"/>
      <c r="J38" s="96"/>
      <c r="K38" s="96">
        <v>19000</v>
      </c>
      <c r="L38" s="96"/>
      <c r="M38" s="96"/>
      <c r="N38" s="96"/>
      <c r="O38" s="96"/>
      <c r="P38" s="96"/>
      <c r="Q38" s="96"/>
      <c r="R38" s="96"/>
      <c r="S38" s="96"/>
      <c r="T38" s="96"/>
      <c r="U38" s="96"/>
      <c r="V38" s="96"/>
      <c r="W38" s="96"/>
      <c r="X38" s="96"/>
      <c r="Y38" s="96"/>
      <c r="Z38" s="96"/>
      <c r="AA38" s="96"/>
      <c r="AB38" s="96"/>
      <c r="AC38" s="96"/>
      <c r="AD38" s="96"/>
      <c r="AE38" s="96"/>
      <c r="AF38" s="96"/>
      <c r="AG38" s="96"/>
      <c r="AH38" s="96"/>
      <c r="AI38" s="96"/>
      <c r="AJ38" s="96"/>
      <c r="AK38" s="96"/>
      <c r="AL38" s="96"/>
      <c r="AM38" s="96"/>
      <c r="AN38" s="96"/>
      <c r="AO38" s="96"/>
      <c r="AP38" s="96"/>
      <c r="AQ38" s="96"/>
      <c r="AR38" s="96"/>
      <c r="AS38" s="96"/>
      <c r="AT38" s="96"/>
      <c r="AU38" s="18">
        <v>2000000</v>
      </c>
      <c r="AV38" s="18">
        <v>1538000</v>
      </c>
      <c r="AW38" s="18">
        <v>2000000</v>
      </c>
      <c r="AX38" s="18"/>
      <c r="AY38" s="18"/>
      <c r="AZ38" s="13"/>
      <c r="BA38" s="13"/>
      <c r="BB38" s="13"/>
      <c r="BC38" s="13"/>
      <c r="BD38" s="13"/>
      <c r="BE38" s="17"/>
      <c r="BF38" s="17"/>
    </row>
    <row r="39" spans="1:58" x14ac:dyDescent="0.25">
      <c r="A39" s="83" t="s">
        <v>145</v>
      </c>
      <c r="B39" s="96">
        <v>365500</v>
      </c>
      <c r="C39" s="96"/>
      <c r="D39" s="96"/>
      <c r="E39" s="96">
        <v>379500</v>
      </c>
      <c r="F39" s="96">
        <v>400500</v>
      </c>
      <c r="G39" s="96">
        <v>421250</v>
      </c>
      <c r="H39" s="96">
        <v>421550</v>
      </c>
      <c r="I39" s="96">
        <v>421700</v>
      </c>
      <c r="J39" s="96">
        <v>421950</v>
      </c>
      <c r="K39" s="96">
        <v>313550</v>
      </c>
      <c r="L39" s="96"/>
      <c r="M39" s="96">
        <v>726280</v>
      </c>
      <c r="N39" s="96"/>
      <c r="O39" s="96"/>
      <c r="P39" s="96"/>
      <c r="Q39" s="96"/>
      <c r="R39" s="96">
        <v>459000</v>
      </c>
      <c r="S39" s="13">
        <f>(R39/15)*12</f>
        <v>367200</v>
      </c>
      <c r="T39" s="96">
        <v>631000</v>
      </c>
      <c r="U39" s="96">
        <v>511000</v>
      </c>
      <c r="V39" s="96">
        <v>511100</v>
      </c>
      <c r="W39" s="96"/>
      <c r="X39" s="96">
        <v>603050</v>
      </c>
      <c r="Y39" s="96">
        <v>1100000</v>
      </c>
      <c r="Z39" s="96">
        <v>1100100</v>
      </c>
      <c r="AA39" s="96"/>
      <c r="AB39" s="96"/>
      <c r="AC39" s="96">
        <v>3040000</v>
      </c>
      <c r="AD39" s="96">
        <v>3040000</v>
      </c>
      <c r="AE39" s="96">
        <v>4271050</v>
      </c>
      <c r="AF39" s="96"/>
      <c r="AG39" s="96">
        <v>3883500</v>
      </c>
      <c r="AH39" s="96">
        <v>3949000</v>
      </c>
      <c r="AI39" s="96">
        <v>5566500</v>
      </c>
      <c r="AJ39" s="96">
        <v>6609610</v>
      </c>
      <c r="AK39" s="96">
        <v>5533500</v>
      </c>
      <c r="AL39" s="96">
        <v>5507500</v>
      </c>
      <c r="AM39" s="96">
        <v>6000000</v>
      </c>
      <c r="AN39" s="96">
        <v>6132000</v>
      </c>
      <c r="AO39" s="96">
        <v>7951000</v>
      </c>
      <c r="AP39" s="96"/>
      <c r="AQ39" s="96"/>
      <c r="AR39" s="96">
        <v>6500000</v>
      </c>
      <c r="AS39" s="96">
        <v>6500000</v>
      </c>
      <c r="AT39" s="96"/>
      <c r="AU39" s="18">
        <v>5000000</v>
      </c>
      <c r="AV39" s="18">
        <v>6408200</v>
      </c>
      <c r="AW39" s="18">
        <v>5000000</v>
      </c>
      <c r="AX39" s="18">
        <v>5000000</v>
      </c>
      <c r="AY39" s="18">
        <v>5000000</v>
      </c>
      <c r="AZ39" s="13"/>
      <c r="BA39" s="13"/>
      <c r="BB39" s="13"/>
      <c r="BC39" s="13">
        <v>35000000</v>
      </c>
      <c r="BD39" s="13"/>
      <c r="BE39" s="17"/>
      <c r="BF39" s="17"/>
    </row>
    <row r="40" spans="1:58" x14ac:dyDescent="0.25">
      <c r="A40" s="153" t="s">
        <v>1076</v>
      </c>
      <c r="B40" s="96"/>
      <c r="C40" s="96"/>
      <c r="D40" s="96"/>
      <c r="E40" s="96"/>
      <c r="F40" s="96"/>
      <c r="G40" s="96"/>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c r="AH40" s="96"/>
      <c r="AI40" s="96"/>
      <c r="AJ40" s="96"/>
      <c r="AK40" s="96"/>
      <c r="AL40" s="96"/>
      <c r="AM40" s="96"/>
      <c r="AN40" s="96"/>
      <c r="AO40" s="96"/>
      <c r="AP40" s="96"/>
      <c r="AQ40" s="96"/>
      <c r="AR40" s="96"/>
      <c r="AS40" s="96"/>
      <c r="AT40" s="96"/>
      <c r="AU40" s="18">
        <v>140000</v>
      </c>
      <c r="AV40" s="18"/>
      <c r="AW40" s="18">
        <v>140000</v>
      </c>
      <c r="AX40" s="18"/>
      <c r="AY40" s="18"/>
      <c r="AZ40" s="13"/>
      <c r="BA40" s="13"/>
      <c r="BB40" s="13"/>
      <c r="BC40" s="13"/>
      <c r="BD40" s="13"/>
      <c r="BE40" s="17"/>
      <c r="BF40" s="17"/>
    </row>
    <row r="41" spans="1:58" x14ac:dyDescent="0.25">
      <c r="A41" s="153" t="s">
        <v>1077</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c r="AE41" s="96"/>
      <c r="AF41" s="96"/>
      <c r="AG41" s="96"/>
      <c r="AH41" s="96"/>
      <c r="AI41" s="96"/>
      <c r="AJ41" s="96"/>
      <c r="AK41" s="96"/>
      <c r="AL41" s="96"/>
      <c r="AM41" s="96"/>
      <c r="AN41" s="96"/>
      <c r="AO41" s="96"/>
      <c r="AP41" s="96"/>
      <c r="AQ41" s="96"/>
      <c r="AR41" s="96"/>
      <c r="AS41" s="96"/>
      <c r="AT41" s="96"/>
      <c r="AU41" s="18">
        <v>140000</v>
      </c>
      <c r="AV41" s="18"/>
      <c r="AW41" s="18">
        <v>150000</v>
      </c>
      <c r="AX41" s="18"/>
      <c r="AY41" s="18"/>
      <c r="AZ41" s="13"/>
      <c r="BA41" s="13"/>
      <c r="BB41" s="13"/>
      <c r="BC41" s="13"/>
      <c r="BD41" s="13"/>
      <c r="BE41" s="17"/>
      <c r="BF41" s="17"/>
    </row>
    <row r="42" spans="1:58" x14ac:dyDescent="0.25">
      <c r="A42" s="153" t="s">
        <v>1078</v>
      </c>
      <c r="B42" s="96"/>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18"/>
      <c r="AV42" s="18">
        <v>380000</v>
      </c>
      <c r="AW42" s="18"/>
      <c r="AX42" s="18"/>
      <c r="AY42" s="18"/>
      <c r="AZ42" s="13"/>
      <c r="BA42" s="13"/>
      <c r="BB42" s="13"/>
      <c r="BC42" s="13"/>
      <c r="BD42" s="13"/>
      <c r="BE42" s="17"/>
      <c r="BF42" s="17"/>
    </row>
    <row r="43" spans="1:58" x14ac:dyDescent="0.25">
      <c r="A43" s="153" t="s">
        <v>1079</v>
      </c>
      <c r="B43" s="96"/>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18">
        <v>150000</v>
      </c>
      <c r="AV43" s="18"/>
      <c r="AW43" s="18">
        <v>150000</v>
      </c>
      <c r="AX43" s="18"/>
      <c r="AY43" s="18"/>
      <c r="AZ43" s="13"/>
      <c r="BA43" s="13"/>
      <c r="BB43" s="13"/>
      <c r="BC43" s="13"/>
      <c r="BD43" s="13"/>
      <c r="BE43" s="17"/>
      <c r="BF43" s="17"/>
    </row>
    <row r="44" spans="1:58" x14ac:dyDescent="0.25">
      <c r="A44" s="34" t="s">
        <v>117</v>
      </c>
      <c r="B44" s="96"/>
      <c r="C44" s="96"/>
      <c r="D44" s="96"/>
      <c r="E44" s="96"/>
      <c r="F44" s="96"/>
      <c r="G44" s="96"/>
      <c r="H44" s="96"/>
      <c r="I44" s="96"/>
      <c r="J44" s="96"/>
      <c r="K44" s="96"/>
      <c r="L44" s="96"/>
      <c r="M44" s="96"/>
      <c r="N44" s="96"/>
      <c r="O44" s="96"/>
      <c r="P44" s="96"/>
      <c r="Q44" s="96"/>
      <c r="R44" s="96"/>
      <c r="S44" s="96"/>
      <c r="T44" s="96"/>
      <c r="U44" s="96"/>
      <c r="V44" s="96"/>
      <c r="W44" s="96"/>
      <c r="X44" s="96"/>
      <c r="Y44" s="96"/>
      <c r="Z44" s="96"/>
      <c r="AA44" s="96"/>
      <c r="AB44" s="96"/>
      <c r="AC44" s="96"/>
      <c r="AD44" s="96"/>
      <c r="AE44" s="96">
        <v>800050</v>
      </c>
      <c r="AF44" s="96"/>
      <c r="AG44" s="96"/>
      <c r="AH44" s="96"/>
      <c r="AI44" s="96"/>
      <c r="AJ44" s="96"/>
      <c r="AK44" s="96">
        <v>1013000</v>
      </c>
      <c r="AL44" s="96">
        <v>946000</v>
      </c>
      <c r="AM44" s="96"/>
      <c r="AN44" s="96">
        <v>1207000</v>
      </c>
      <c r="AO44" s="96">
        <v>1320000</v>
      </c>
      <c r="AP44" s="96"/>
      <c r="AQ44" s="96"/>
      <c r="AR44" s="96">
        <v>2500000</v>
      </c>
      <c r="AS44" s="96">
        <v>2500000</v>
      </c>
      <c r="AT44" s="96"/>
      <c r="AU44" s="18"/>
      <c r="AV44" s="18"/>
      <c r="AW44" s="18"/>
      <c r="AX44" s="18"/>
      <c r="AY44" s="18"/>
      <c r="AZ44" s="13"/>
      <c r="BA44" s="13"/>
      <c r="BB44" s="13"/>
      <c r="BC44" s="13"/>
      <c r="BD44" s="13"/>
      <c r="BE44" s="17"/>
      <c r="BF44" s="17"/>
    </row>
    <row r="45" spans="1:58" x14ac:dyDescent="0.25">
      <c r="A45" s="34" t="s">
        <v>437</v>
      </c>
      <c r="B45" s="96"/>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96">
        <v>1100000</v>
      </c>
      <c r="AE45" s="96"/>
      <c r="AF45" s="96"/>
      <c r="AG45" s="96">
        <v>1575500</v>
      </c>
      <c r="AH45" s="96">
        <v>1987000</v>
      </c>
      <c r="AI45" s="96">
        <v>2247000</v>
      </c>
      <c r="AJ45" s="96">
        <v>2286500</v>
      </c>
      <c r="AK45" s="96"/>
      <c r="AL45" s="96"/>
      <c r="AM45" s="96">
        <v>2017000</v>
      </c>
      <c r="AN45" s="96"/>
      <c r="AO45" s="96"/>
      <c r="AP45" s="96"/>
      <c r="AQ45" s="96"/>
      <c r="AR45" s="96"/>
      <c r="AS45" s="96"/>
      <c r="AT45" s="96"/>
      <c r="AU45" s="18">
        <v>4000000</v>
      </c>
      <c r="AV45" s="18">
        <v>3414650</v>
      </c>
      <c r="AW45" s="18">
        <v>2000000</v>
      </c>
      <c r="AX45" s="18">
        <v>4000000</v>
      </c>
      <c r="AY45" s="18">
        <v>4000000</v>
      </c>
      <c r="AZ45" s="13"/>
      <c r="BA45" s="13"/>
      <c r="BB45" s="13"/>
      <c r="BC45" s="13"/>
      <c r="BD45" s="13"/>
      <c r="BE45" s="17"/>
      <c r="BF45" s="17"/>
    </row>
    <row r="46" spans="1:58" x14ac:dyDescent="0.25">
      <c r="A46" s="34" t="s">
        <v>975</v>
      </c>
      <c r="B46" s="96"/>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18">
        <v>6000000</v>
      </c>
      <c r="AV46" s="18"/>
      <c r="AW46" s="18">
        <v>6000000</v>
      </c>
      <c r="AX46" s="18"/>
      <c r="AY46" s="18"/>
      <c r="AZ46" s="13"/>
      <c r="BA46" s="13"/>
      <c r="BB46" s="13"/>
      <c r="BC46" s="13"/>
      <c r="BD46" s="13"/>
      <c r="BE46" s="17"/>
      <c r="BF46" s="17"/>
    </row>
    <row r="47" spans="1:58" ht="30" x14ac:dyDescent="0.25">
      <c r="A47" s="34" t="s">
        <v>980</v>
      </c>
      <c r="B47" s="96"/>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18">
        <v>1200000</v>
      </c>
      <c r="AV47" s="18"/>
      <c r="AW47" s="18">
        <v>1200000</v>
      </c>
      <c r="AX47" s="18"/>
      <c r="AY47" s="18"/>
      <c r="AZ47" s="13"/>
      <c r="BA47" s="13"/>
      <c r="BB47" s="13"/>
      <c r="BC47" s="13"/>
      <c r="BD47" s="13"/>
      <c r="BE47" s="17"/>
      <c r="BF47" s="17"/>
    </row>
    <row r="48" spans="1:58" ht="30" x14ac:dyDescent="0.25">
      <c r="A48" s="34" t="s">
        <v>981</v>
      </c>
      <c r="B48" s="96"/>
      <c r="C48" s="96"/>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18"/>
      <c r="AV48" s="18"/>
      <c r="AW48" s="18"/>
      <c r="AX48" s="18">
        <v>23900000</v>
      </c>
      <c r="AY48" s="18">
        <v>30000000</v>
      </c>
      <c r="AZ48" s="13">
        <v>24000000</v>
      </c>
      <c r="BA48" s="13">
        <v>26000000</v>
      </c>
      <c r="BB48" s="13"/>
      <c r="BC48" s="13">
        <v>26000000</v>
      </c>
      <c r="BD48" s="13">
        <v>26000000</v>
      </c>
      <c r="BE48" s="17"/>
      <c r="BF48" s="17"/>
    </row>
    <row r="49" spans="1:58" x14ac:dyDescent="0.25">
      <c r="A49" s="83" t="s">
        <v>936</v>
      </c>
      <c r="B49" s="96"/>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c r="AI49" s="96"/>
      <c r="AJ49" s="96"/>
      <c r="AK49" s="96"/>
      <c r="AL49" s="96"/>
      <c r="AM49" s="96"/>
      <c r="AN49" s="96"/>
      <c r="AO49" s="96"/>
      <c r="AP49" s="96"/>
      <c r="AQ49" s="96"/>
      <c r="AR49" s="96"/>
      <c r="AS49" s="96"/>
      <c r="AT49" s="96"/>
      <c r="AU49" s="18">
        <v>150000</v>
      </c>
      <c r="AV49" s="18"/>
      <c r="AW49" s="18">
        <v>150000</v>
      </c>
      <c r="AX49" s="18"/>
      <c r="AY49" s="18"/>
      <c r="AZ49" s="13"/>
      <c r="BA49" s="13"/>
      <c r="BB49" s="13"/>
      <c r="BC49" s="13"/>
      <c r="BD49" s="13"/>
      <c r="BE49" s="17"/>
      <c r="BF49" s="17"/>
    </row>
    <row r="50" spans="1:58" x14ac:dyDescent="0.25">
      <c r="A50" s="34" t="s">
        <v>982</v>
      </c>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18">
        <v>1500000</v>
      </c>
      <c r="AV50" s="18"/>
      <c r="AW50" s="18">
        <v>1500000</v>
      </c>
      <c r="AX50" s="18"/>
      <c r="AY50" s="18"/>
      <c r="AZ50" s="13"/>
      <c r="BA50" s="13"/>
      <c r="BB50" s="13"/>
      <c r="BC50" s="13"/>
      <c r="BD50" s="13"/>
      <c r="BE50" s="17"/>
      <c r="BF50" s="17"/>
    </row>
    <row r="51" spans="1:58" ht="30" x14ac:dyDescent="0.25">
      <c r="A51" s="34" t="s">
        <v>441</v>
      </c>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18">
        <v>800000</v>
      </c>
      <c r="AV51" s="18"/>
      <c r="AW51" s="18">
        <v>800000</v>
      </c>
      <c r="AX51" s="18"/>
      <c r="AY51" s="18"/>
      <c r="AZ51" s="13"/>
      <c r="BA51" s="13"/>
      <c r="BB51" s="13"/>
      <c r="BC51" s="13"/>
      <c r="BD51" s="13"/>
      <c r="BE51" s="17"/>
      <c r="BF51" s="17"/>
    </row>
    <row r="52" spans="1:58" x14ac:dyDescent="0.25">
      <c r="A52" s="153" t="s">
        <v>1080</v>
      </c>
      <c r="B52" s="96"/>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18">
        <v>150000</v>
      </c>
      <c r="AV52" s="18"/>
      <c r="AW52" s="18">
        <v>100000</v>
      </c>
      <c r="AX52" s="18"/>
      <c r="AY52" s="18"/>
      <c r="AZ52" s="13"/>
      <c r="BA52" s="13"/>
      <c r="BB52" s="13"/>
      <c r="BC52" s="13"/>
      <c r="BD52" s="13"/>
      <c r="BE52" s="17"/>
      <c r="BF52" s="17"/>
    </row>
    <row r="53" spans="1:58" x14ac:dyDescent="0.25">
      <c r="A53" s="34" t="s">
        <v>277</v>
      </c>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18">
        <v>350000</v>
      </c>
      <c r="AV53" s="18"/>
      <c r="AW53" s="18">
        <v>400000</v>
      </c>
      <c r="AX53" s="18"/>
      <c r="AY53" s="18"/>
      <c r="AZ53" s="13"/>
      <c r="BA53" s="13"/>
      <c r="BB53" s="13"/>
      <c r="BC53" s="13"/>
      <c r="BD53" s="13"/>
      <c r="BE53" s="17"/>
      <c r="BF53" s="17"/>
    </row>
    <row r="54" spans="1:58" x14ac:dyDescent="0.25">
      <c r="A54" s="34" t="s">
        <v>444</v>
      </c>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18">
        <v>7000000</v>
      </c>
      <c r="AV54" s="18">
        <v>6434490</v>
      </c>
      <c r="AW54" s="18">
        <v>7000000</v>
      </c>
      <c r="AX54" s="18">
        <v>7000000</v>
      </c>
      <c r="AY54" s="18">
        <v>7000000</v>
      </c>
      <c r="AZ54" s="13">
        <v>5000000</v>
      </c>
      <c r="BA54" s="13">
        <v>5000000</v>
      </c>
      <c r="BB54" s="13"/>
      <c r="BC54" s="13">
        <v>5000000</v>
      </c>
      <c r="BD54" s="13">
        <v>3375000</v>
      </c>
      <c r="BE54" s="17"/>
      <c r="BF54" s="17"/>
    </row>
    <row r="55" spans="1:58" x14ac:dyDescent="0.25">
      <c r="A55" s="153" t="s">
        <v>420</v>
      </c>
      <c r="B55" s="96"/>
      <c r="C55" s="96"/>
      <c r="D55" s="96"/>
      <c r="E55" s="96"/>
      <c r="F55" s="96"/>
      <c r="G55" s="96"/>
      <c r="H55" s="96"/>
      <c r="I55" s="96"/>
      <c r="J55" s="96"/>
      <c r="K55" s="96"/>
      <c r="L55" s="96"/>
      <c r="M55" s="96"/>
      <c r="N55" s="96"/>
      <c r="O55" s="96"/>
      <c r="P55" s="96"/>
      <c r="Q55" s="96"/>
      <c r="R55" s="96">
        <v>12800</v>
      </c>
      <c r="S55" s="13">
        <f>(R55/15)*12</f>
        <v>10240</v>
      </c>
      <c r="T55" s="96"/>
      <c r="U55" s="96"/>
      <c r="V55" s="96"/>
      <c r="W55" s="96"/>
      <c r="X55" s="96"/>
      <c r="Y55" s="96"/>
      <c r="Z55" s="96"/>
      <c r="AA55" s="96"/>
      <c r="AB55" s="96"/>
      <c r="AC55" s="96"/>
      <c r="AD55" s="96"/>
      <c r="AE55" s="96"/>
      <c r="AF55" s="96"/>
      <c r="AG55" s="96"/>
      <c r="AH55" s="96"/>
      <c r="AI55" s="96"/>
      <c r="AJ55" s="96"/>
      <c r="AK55" s="96"/>
      <c r="AL55" s="96"/>
      <c r="AM55" s="96"/>
      <c r="AN55" s="96"/>
      <c r="AO55" s="96"/>
      <c r="AP55" s="96"/>
      <c r="AQ55" s="96"/>
      <c r="AR55" s="96"/>
      <c r="AS55" s="96"/>
      <c r="AT55" s="96"/>
      <c r="AU55" s="18"/>
      <c r="AV55" s="18"/>
      <c r="AW55" s="18"/>
      <c r="AX55" s="18"/>
      <c r="AY55" s="18"/>
      <c r="AZ55" s="13"/>
      <c r="BA55" s="13"/>
      <c r="BB55" s="13"/>
      <c r="BC55" s="13"/>
      <c r="BD55" s="13"/>
      <c r="BE55" s="17"/>
      <c r="BF55" s="17"/>
    </row>
    <row r="56" spans="1:58" x14ac:dyDescent="0.25">
      <c r="A56" s="34" t="s">
        <v>447</v>
      </c>
      <c r="B56" s="96"/>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18">
        <v>2000000</v>
      </c>
      <c r="AV56" s="18">
        <v>2050000</v>
      </c>
      <c r="AW56" s="18">
        <v>900000</v>
      </c>
      <c r="AX56" s="18"/>
      <c r="AY56" s="18"/>
      <c r="AZ56" s="13"/>
      <c r="BA56" s="13"/>
      <c r="BB56" s="13"/>
      <c r="BC56" s="13"/>
      <c r="BD56" s="13"/>
      <c r="BE56" s="17"/>
      <c r="BF56" s="17"/>
    </row>
    <row r="57" spans="1:58" ht="30" x14ac:dyDescent="0.25">
      <c r="A57" s="34" t="s">
        <v>983</v>
      </c>
      <c r="B57" s="96"/>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c r="AF57" s="96"/>
      <c r="AG57" s="96">
        <v>1041920</v>
      </c>
      <c r="AH57" s="96">
        <v>1058808</v>
      </c>
      <c r="AI57" s="96">
        <v>1122174</v>
      </c>
      <c r="AJ57" s="96">
        <v>1191068</v>
      </c>
      <c r="AK57" s="96">
        <v>1292500</v>
      </c>
      <c r="AL57" s="96">
        <v>1401732</v>
      </c>
      <c r="AM57" s="96">
        <v>1200000</v>
      </c>
      <c r="AN57" s="96">
        <v>1200000</v>
      </c>
      <c r="AO57" s="96">
        <v>1200000</v>
      </c>
      <c r="AP57" s="96"/>
      <c r="AQ57" s="96"/>
      <c r="AR57" s="96">
        <v>1200000</v>
      </c>
      <c r="AS57" s="96">
        <v>1200000</v>
      </c>
      <c r="AT57" s="96"/>
      <c r="AU57" s="18"/>
      <c r="AV57" s="18"/>
      <c r="AW57" s="18"/>
      <c r="AX57" s="18"/>
      <c r="AY57" s="18"/>
      <c r="AZ57" s="13"/>
      <c r="BA57" s="13"/>
      <c r="BB57" s="13"/>
      <c r="BC57" s="13"/>
      <c r="BD57" s="13"/>
      <c r="BE57" s="17"/>
      <c r="BF57" s="17"/>
    </row>
    <row r="58" spans="1:58" x14ac:dyDescent="0.25">
      <c r="A58" s="34" t="s">
        <v>445</v>
      </c>
      <c r="B58" s="96"/>
      <c r="C58" s="96"/>
      <c r="D58" s="96"/>
      <c r="E58" s="96"/>
      <c r="F58" s="96"/>
      <c r="G58" s="96"/>
      <c r="H58" s="96"/>
      <c r="I58" s="96"/>
      <c r="J58" s="96"/>
      <c r="K58" s="96"/>
      <c r="L58" s="96"/>
      <c r="M58" s="96"/>
      <c r="N58" s="96"/>
      <c r="O58" s="96"/>
      <c r="P58" s="96"/>
      <c r="Q58" s="96"/>
      <c r="R58" s="96"/>
      <c r="S58" s="96"/>
      <c r="T58" s="96"/>
      <c r="U58" s="96"/>
      <c r="V58" s="96"/>
      <c r="W58" s="96"/>
      <c r="X58" s="96">
        <v>531358</v>
      </c>
      <c r="Y58" s="96">
        <v>630778</v>
      </c>
      <c r="Z58" s="96">
        <v>692736</v>
      </c>
      <c r="AA58" s="96"/>
      <c r="AB58" s="96"/>
      <c r="AC58" s="96">
        <v>600000</v>
      </c>
      <c r="AD58" s="96">
        <v>600000</v>
      </c>
      <c r="AE58" s="96">
        <v>882224</v>
      </c>
      <c r="AF58" s="96"/>
      <c r="AG58" s="96"/>
      <c r="AH58" s="96"/>
      <c r="AI58" s="96"/>
      <c r="AJ58" s="96"/>
      <c r="AK58" s="96"/>
      <c r="AL58" s="96"/>
      <c r="AM58" s="96"/>
      <c r="AN58" s="96"/>
      <c r="AO58" s="96"/>
      <c r="AP58" s="96"/>
      <c r="AQ58" s="96"/>
      <c r="AR58" s="96"/>
      <c r="AS58" s="96"/>
      <c r="AT58" s="96"/>
      <c r="AU58" s="18"/>
      <c r="AV58" s="18"/>
      <c r="AW58" s="18"/>
      <c r="AX58" s="18"/>
      <c r="AY58" s="18"/>
      <c r="AZ58" s="13"/>
      <c r="BA58" s="13"/>
      <c r="BB58" s="13"/>
      <c r="BC58" s="13"/>
      <c r="BD58" s="13"/>
      <c r="BE58" s="17"/>
      <c r="BF58" s="17"/>
    </row>
    <row r="59" spans="1:58" x14ac:dyDescent="0.25">
      <c r="A59" s="153" t="s">
        <v>421</v>
      </c>
      <c r="B59" s="96"/>
      <c r="C59" s="96"/>
      <c r="D59" s="96"/>
      <c r="E59" s="96"/>
      <c r="F59" s="96"/>
      <c r="G59" s="96"/>
      <c r="H59" s="96"/>
      <c r="I59" s="96"/>
      <c r="J59" s="96"/>
      <c r="K59" s="96"/>
      <c r="L59" s="96"/>
      <c r="M59" s="96"/>
      <c r="N59" s="96"/>
      <c r="O59" s="96"/>
      <c r="P59" s="96"/>
      <c r="Q59" s="96"/>
      <c r="R59" s="96">
        <v>831000</v>
      </c>
      <c r="S59" s="13">
        <f>(R59/15)*12</f>
        <v>664800</v>
      </c>
      <c r="T59" s="96">
        <v>437000</v>
      </c>
      <c r="U59" s="96">
        <v>609500</v>
      </c>
      <c r="V59" s="96">
        <v>664000</v>
      </c>
      <c r="W59" s="96"/>
      <c r="X59" s="96">
        <v>782400</v>
      </c>
      <c r="Y59" s="96"/>
      <c r="Z59" s="96">
        <v>908000</v>
      </c>
      <c r="AA59" s="96"/>
      <c r="AB59" s="96"/>
      <c r="AC59" s="96">
        <v>2500000</v>
      </c>
      <c r="AD59" s="96">
        <v>1500000</v>
      </c>
      <c r="AE59" s="96">
        <v>2399000</v>
      </c>
      <c r="AF59" s="96"/>
      <c r="AG59" s="96">
        <v>2840300</v>
      </c>
      <c r="AH59" s="96">
        <v>4105060</v>
      </c>
      <c r="AI59" s="96">
        <v>2749000</v>
      </c>
      <c r="AJ59" s="96">
        <v>3417500</v>
      </c>
      <c r="AK59" s="96">
        <v>5738000</v>
      </c>
      <c r="AL59" s="96">
        <v>6354800</v>
      </c>
      <c r="AM59" s="96">
        <v>5000000</v>
      </c>
      <c r="AN59" s="96">
        <v>6000000</v>
      </c>
      <c r="AO59" s="96">
        <v>6000000</v>
      </c>
      <c r="AP59" s="96"/>
      <c r="AQ59" s="96"/>
      <c r="AR59" s="96">
        <v>7500000</v>
      </c>
      <c r="AS59" s="96">
        <v>8500000</v>
      </c>
      <c r="AT59" s="96"/>
      <c r="AU59" s="18"/>
      <c r="AV59" s="18"/>
      <c r="AW59" s="18"/>
      <c r="AX59" s="18"/>
      <c r="AY59" s="18"/>
      <c r="AZ59" s="13"/>
      <c r="BA59" s="13"/>
      <c r="BB59" s="13"/>
      <c r="BC59" s="13"/>
      <c r="BD59" s="13"/>
      <c r="BE59" s="17"/>
      <c r="BF59" s="17"/>
    </row>
    <row r="60" spans="1:58" x14ac:dyDescent="0.25">
      <c r="A60" s="153" t="s">
        <v>1081</v>
      </c>
      <c r="B60" s="96"/>
      <c r="C60" s="9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96"/>
      <c r="AG60" s="96"/>
      <c r="AH60" s="96"/>
      <c r="AI60" s="96"/>
      <c r="AJ60" s="96"/>
      <c r="AK60" s="96"/>
      <c r="AL60" s="96"/>
      <c r="AM60" s="96"/>
      <c r="AN60" s="96"/>
      <c r="AO60" s="96"/>
      <c r="AP60" s="96"/>
      <c r="AQ60" s="96"/>
      <c r="AR60" s="96"/>
      <c r="AS60" s="96"/>
      <c r="AT60" s="96"/>
      <c r="AU60" s="18"/>
      <c r="AV60" s="18"/>
      <c r="AW60" s="18">
        <v>1600000</v>
      </c>
      <c r="AX60" s="18"/>
      <c r="AY60" s="18"/>
      <c r="AZ60" s="13"/>
      <c r="BA60" s="13"/>
      <c r="BB60" s="13"/>
      <c r="BC60" s="13"/>
      <c r="BD60" s="13"/>
      <c r="BE60" s="17"/>
      <c r="BF60" s="17"/>
    </row>
    <row r="61" spans="1:58" x14ac:dyDescent="0.25">
      <c r="A61" s="153" t="s">
        <v>1083</v>
      </c>
      <c r="B61" s="96"/>
      <c r="C61" s="9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96"/>
      <c r="AH61" s="96"/>
      <c r="AI61" s="96"/>
      <c r="AJ61" s="96"/>
      <c r="AK61" s="96"/>
      <c r="AL61" s="96"/>
      <c r="AM61" s="96"/>
      <c r="AN61" s="96"/>
      <c r="AO61" s="96"/>
      <c r="AP61" s="96"/>
      <c r="AQ61" s="96"/>
      <c r="AR61" s="96"/>
      <c r="AS61" s="96"/>
      <c r="AT61" s="96"/>
      <c r="AU61" s="18">
        <v>250000</v>
      </c>
      <c r="AV61" s="18"/>
      <c r="AW61" s="18">
        <v>250000</v>
      </c>
      <c r="AX61" s="18"/>
      <c r="AY61" s="18"/>
      <c r="AZ61" s="13"/>
      <c r="BA61" s="13"/>
      <c r="BB61" s="13"/>
      <c r="BC61" s="13"/>
      <c r="BD61" s="13"/>
      <c r="BE61" s="17"/>
      <c r="BF61" s="17"/>
    </row>
    <row r="62" spans="1:58" x14ac:dyDescent="0.25">
      <c r="A62" s="34" t="s">
        <v>432</v>
      </c>
      <c r="B62" s="96"/>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6"/>
      <c r="AG62" s="96"/>
      <c r="AH62" s="96"/>
      <c r="AI62" s="96"/>
      <c r="AJ62" s="96"/>
      <c r="AK62" s="96"/>
      <c r="AL62" s="96"/>
      <c r="AM62" s="96"/>
      <c r="AN62" s="96"/>
      <c r="AO62" s="96"/>
      <c r="AP62" s="96"/>
      <c r="AQ62" s="96"/>
      <c r="AR62" s="96"/>
      <c r="AS62" s="96"/>
      <c r="AT62" s="96"/>
      <c r="AU62" s="18">
        <v>250000</v>
      </c>
      <c r="AV62" s="18"/>
      <c r="AW62" s="18">
        <v>250000</v>
      </c>
      <c r="AX62" s="18"/>
      <c r="AY62" s="18"/>
      <c r="AZ62" s="13"/>
      <c r="BA62" s="13"/>
      <c r="BB62" s="13"/>
      <c r="BC62" s="13"/>
      <c r="BD62" s="13"/>
      <c r="BE62" s="17"/>
      <c r="BF62" s="17"/>
    </row>
    <row r="63" spans="1:58" x14ac:dyDescent="0.25">
      <c r="A63" s="34" t="s">
        <v>984</v>
      </c>
      <c r="B63" s="96"/>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c r="AF63" s="96"/>
      <c r="AG63" s="96"/>
      <c r="AH63" s="96"/>
      <c r="AI63" s="96"/>
      <c r="AJ63" s="96"/>
      <c r="AK63" s="96"/>
      <c r="AL63" s="96"/>
      <c r="AM63" s="96"/>
      <c r="AN63" s="96"/>
      <c r="AO63" s="96"/>
      <c r="AP63" s="96"/>
      <c r="AQ63" s="96"/>
      <c r="AR63" s="96"/>
      <c r="AS63" s="96"/>
      <c r="AT63" s="18"/>
      <c r="AU63" s="18">
        <v>200000</v>
      </c>
      <c r="AV63" s="18"/>
      <c r="AW63" s="18">
        <v>200000</v>
      </c>
      <c r="AX63" s="18"/>
      <c r="AY63" s="18"/>
      <c r="AZ63" s="13"/>
      <c r="BA63" s="13"/>
      <c r="BB63" s="13"/>
      <c r="BC63" s="13"/>
      <c r="BD63" s="13"/>
      <c r="BE63" s="17"/>
      <c r="BF63" s="17"/>
    </row>
    <row r="64" spans="1:58" x14ac:dyDescent="0.25">
      <c r="A64" s="34" t="s">
        <v>985</v>
      </c>
      <c r="B64" s="96"/>
      <c r="C64" s="96"/>
      <c r="D64" s="96"/>
      <c r="E64" s="96"/>
      <c r="F64" s="96"/>
      <c r="G64" s="96"/>
      <c r="H64" s="96"/>
      <c r="I64" s="96"/>
      <c r="J64" s="96"/>
      <c r="K64" s="96"/>
      <c r="L64" s="96"/>
      <c r="M64" s="96"/>
      <c r="N64" s="96"/>
      <c r="O64" s="96"/>
      <c r="P64" s="96"/>
      <c r="Q64" s="96"/>
      <c r="R64" s="96"/>
      <c r="S64" s="96"/>
      <c r="T64" s="96"/>
      <c r="U64" s="96"/>
      <c r="V64" s="96"/>
      <c r="W64" s="96"/>
      <c r="X64" s="96"/>
      <c r="Y64" s="96"/>
      <c r="Z64" s="96"/>
      <c r="AA64" s="96"/>
      <c r="AB64" s="96"/>
      <c r="AC64" s="96"/>
      <c r="AD64" s="96"/>
      <c r="AE64" s="96"/>
      <c r="AF64" s="96"/>
      <c r="AG64" s="96"/>
      <c r="AH64" s="96"/>
      <c r="AI64" s="96"/>
      <c r="AJ64" s="96"/>
      <c r="AK64" s="96"/>
      <c r="AL64" s="96"/>
      <c r="AM64" s="96"/>
      <c r="AN64" s="96"/>
      <c r="AO64" s="96"/>
      <c r="AP64" s="96"/>
      <c r="AQ64" s="96"/>
      <c r="AR64" s="96"/>
      <c r="AS64" s="96"/>
      <c r="AT64" s="96"/>
      <c r="AU64" s="18">
        <v>500000</v>
      </c>
      <c r="AV64" s="18"/>
      <c r="AW64" s="18">
        <v>500000</v>
      </c>
      <c r="AX64" s="18"/>
      <c r="AY64" s="18"/>
      <c r="AZ64" s="13"/>
      <c r="BA64" s="13"/>
      <c r="BB64" s="13"/>
      <c r="BC64" s="13"/>
      <c r="BD64" s="13"/>
      <c r="BE64" s="17"/>
      <c r="BF64" s="17"/>
    </row>
    <row r="65" spans="1:58" x14ac:dyDescent="0.25">
      <c r="A65" s="153" t="s">
        <v>1082</v>
      </c>
      <c r="B65" s="96"/>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6"/>
      <c r="AG65" s="96"/>
      <c r="AH65" s="96"/>
      <c r="AI65" s="96"/>
      <c r="AJ65" s="96"/>
      <c r="AK65" s="96"/>
      <c r="AL65" s="96"/>
      <c r="AM65" s="96"/>
      <c r="AN65" s="96"/>
      <c r="AO65" s="96"/>
      <c r="AP65" s="96"/>
      <c r="AQ65" s="96"/>
      <c r="AR65" s="96"/>
      <c r="AS65" s="96"/>
      <c r="AT65" s="96"/>
      <c r="AU65" s="18"/>
      <c r="AV65" s="18"/>
      <c r="AW65" s="18">
        <v>200000</v>
      </c>
      <c r="AX65" s="18"/>
      <c r="AY65" s="18"/>
      <c r="AZ65" s="13"/>
      <c r="BA65" s="13"/>
      <c r="BB65" s="13"/>
      <c r="BC65" s="13"/>
      <c r="BD65" s="13"/>
      <c r="BE65" s="17"/>
      <c r="BF65" s="17"/>
    </row>
    <row r="66" spans="1:58" x14ac:dyDescent="0.25">
      <c r="A66" s="34" t="s">
        <v>280</v>
      </c>
      <c r="B66" s="96"/>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96"/>
      <c r="AG66" s="96"/>
      <c r="AH66" s="96">
        <v>2877030</v>
      </c>
      <c r="AI66" s="96">
        <v>1894411</v>
      </c>
      <c r="AJ66" s="96">
        <v>2491900</v>
      </c>
      <c r="AK66" s="96">
        <v>1558050</v>
      </c>
      <c r="AL66" s="96">
        <v>65800</v>
      </c>
      <c r="AM66" s="96"/>
      <c r="AN66" s="96"/>
      <c r="AO66" s="96"/>
      <c r="AP66" s="96"/>
      <c r="AQ66" s="96"/>
      <c r="AR66" s="96"/>
      <c r="AS66" s="96"/>
      <c r="AT66" s="96"/>
      <c r="AU66" s="18"/>
      <c r="AV66" s="18"/>
      <c r="AW66" s="18"/>
      <c r="AX66" s="18"/>
      <c r="AY66" s="18"/>
      <c r="AZ66" s="13"/>
      <c r="BA66" s="13"/>
      <c r="BB66" s="13"/>
      <c r="BC66" s="13"/>
      <c r="BD66" s="13"/>
      <c r="BE66" s="17"/>
      <c r="BF66" s="17"/>
    </row>
    <row r="67" spans="1:58" ht="15" customHeight="1" x14ac:dyDescent="0.25">
      <c r="A67" s="34" t="s">
        <v>987</v>
      </c>
      <c r="B67" s="96"/>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c r="AE67" s="96"/>
      <c r="AF67" s="96"/>
      <c r="AG67" s="96"/>
      <c r="AH67" s="96"/>
      <c r="AI67" s="96"/>
      <c r="AJ67" s="96"/>
      <c r="AK67" s="96"/>
      <c r="AL67" s="96"/>
      <c r="AM67" s="96"/>
      <c r="AN67" s="96"/>
      <c r="AO67" s="96"/>
      <c r="AP67" s="96"/>
      <c r="AQ67" s="96"/>
      <c r="AR67" s="96"/>
      <c r="AS67" s="96"/>
      <c r="AT67" s="96"/>
      <c r="AU67" s="18"/>
      <c r="AV67" s="18"/>
      <c r="AW67" s="18"/>
      <c r="AX67" s="18"/>
      <c r="AY67" s="18"/>
      <c r="AZ67" s="13"/>
      <c r="BA67" s="13"/>
      <c r="BB67" s="13"/>
      <c r="BC67" s="13">
        <v>15000000</v>
      </c>
      <c r="BD67" s="13">
        <v>15000000</v>
      </c>
      <c r="BE67" s="17"/>
      <c r="BF67" s="17"/>
    </row>
    <row r="68" spans="1:58" x14ac:dyDescent="0.25">
      <c r="A68" s="34" t="s">
        <v>986</v>
      </c>
      <c r="B68" s="96"/>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c r="AE68" s="96"/>
      <c r="AF68" s="96"/>
      <c r="AG68" s="96"/>
      <c r="AH68" s="96"/>
      <c r="AI68" s="96"/>
      <c r="AJ68" s="96"/>
      <c r="AK68" s="96"/>
      <c r="AL68" s="96"/>
      <c r="AM68" s="96"/>
      <c r="AN68" s="96"/>
      <c r="AO68" s="96"/>
      <c r="AP68" s="96"/>
      <c r="AQ68" s="96"/>
      <c r="AR68" s="96"/>
      <c r="AS68" s="96"/>
      <c r="AT68" s="96"/>
      <c r="AU68" s="18"/>
      <c r="AV68" s="18"/>
      <c r="AW68" s="18"/>
      <c r="AX68" s="18"/>
      <c r="AY68" s="18">
        <v>1600000</v>
      </c>
      <c r="AZ68" s="13">
        <v>3000000</v>
      </c>
      <c r="BA68" s="13">
        <v>4200000</v>
      </c>
      <c r="BB68" s="13"/>
      <c r="BC68" s="13">
        <v>4200000</v>
      </c>
      <c r="BD68" s="13">
        <v>3346400</v>
      </c>
      <c r="BE68" s="17"/>
      <c r="BF68" s="17"/>
    </row>
    <row r="69" spans="1:58" x14ac:dyDescent="0.25">
      <c r="A69" s="34" t="s">
        <v>442</v>
      </c>
      <c r="B69" s="96"/>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c r="AE69" s="96"/>
      <c r="AF69" s="96"/>
      <c r="AG69" s="96"/>
      <c r="AH69" s="96"/>
      <c r="AI69" s="96"/>
      <c r="AJ69" s="96"/>
      <c r="AK69" s="96"/>
      <c r="AL69" s="96"/>
      <c r="AM69" s="96"/>
      <c r="AN69" s="96"/>
      <c r="AO69" s="96"/>
      <c r="AP69" s="96"/>
      <c r="AQ69" s="96"/>
      <c r="AR69" s="96"/>
      <c r="AS69" s="96"/>
      <c r="AT69" s="96"/>
      <c r="AU69" s="18">
        <v>600000</v>
      </c>
      <c r="AV69" s="18"/>
      <c r="AW69" s="18">
        <v>600000</v>
      </c>
      <c r="AX69" s="18"/>
      <c r="AY69" s="18"/>
      <c r="AZ69" s="13"/>
      <c r="BA69" s="13"/>
      <c r="BB69" s="13"/>
      <c r="BC69" s="13"/>
      <c r="BD69" s="13"/>
      <c r="BE69" s="17"/>
      <c r="BF69" s="17"/>
    </row>
    <row r="70" spans="1:58" x14ac:dyDescent="0.25">
      <c r="A70" s="34" t="s">
        <v>439</v>
      </c>
      <c r="B70" s="96"/>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c r="AF70" s="96"/>
      <c r="AG70" s="96"/>
      <c r="AH70" s="96"/>
      <c r="AI70" s="96"/>
      <c r="AJ70" s="96"/>
      <c r="AK70" s="96"/>
      <c r="AL70" s="96"/>
      <c r="AM70" s="96"/>
      <c r="AN70" s="96"/>
      <c r="AO70" s="96"/>
      <c r="AP70" s="96"/>
      <c r="AQ70" s="96"/>
      <c r="AR70" s="96"/>
      <c r="AS70" s="96"/>
      <c r="AT70" s="96"/>
      <c r="AU70" s="18">
        <v>800000</v>
      </c>
      <c r="AV70" s="18"/>
      <c r="AW70" s="18">
        <v>1000000</v>
      </c>
      <c r="AX70" s="18"/>
      <c r="AY70" s="18"/>
      <c r="AZ70" s="13"/>
      <c r="BA70" s="13"/>
      <c r="BB70" s="13"/>
      <c r="BC70" s="13"/>
      <c r="BD70" s="13"/>
      <c r="BE70" s="17"/>
      <c r="BF70" s="17"/>
    </row>
    <row r="71" spans="1:58" x14ac:dyDescent="0.25">
      <c r="A71" s="35" t="s">
        <v>446</v>
      </c>
      <c r="B71" s="96"/>
      <c r="C71" s="96"/>
      <c r="D71" s="96"/>
      <c r="E71" s="96"/>
      <c r="F71" s="96"/>
      <c r="G71" s="96"/>
      <c r="H71" s="96"/>
      <c r="I71" s="96"/>
      <c r="J71" s="96"/>
      <c r="K71" s="96"/>
      <c r="L71" s="96"/>
      <c r="M71" s="96"/>
      <c r="N71" s="96"/>
      <c r="O71" s="96"/>
      <c r="P71" s="96"/>
      <c r="Q71" s="96"/>
      <c r="R71" s="96"/>
      <c r="S71" s="96"/>
      <c r="T71" s="96"/>
      <c r="U71" s="96"/>
      <c r="V71" s="96"/>
      <c r="W71" s="96"/>
      <c r="X71" s="96"/>
      <c r="Y71" s="96"/>
      <c r="Z71" s="96"/>
      <c r="AA71" s="96"/>
      <c r="AB71" s="96"/>
      <c r="AC71" s="96"/>
      <c r="AD71" s="96"/>
      <c r="AE71" s="96"/>
      <c r="AF71" s="96"/>
      <c r="AG71" s="96"/>
      <c r="AH71" s="96"/>
      <c r="AI71" s="96"/>
      <c r="AJ71" s="96"/>
      <c r="AK71" s="96"/>
      <c r="AL71" s="96"/>
      <c r="AM71" s="96"/>
      <c r="AN71" s="96"/>
      <c r="AO71" s="96"/>
      <c r="AP71" s="96"/>
      <c r="AQ71" s="96"/>
      <c r="AR71" s="96"/>
      <c r="AS71" s="96"/>
      <c r="AT71" s="96"/>
      <c r="AU71" s="18"/>
      <c r="AV71" s="18"/>
      <c r="AW71" s="18"/>
      <c r="AX71" s="18"/>
      <c r="AY71" s="18"/>
      <c r="AZ71" s="13"/>
      <c r="BA71" s="13"/>
      <c r="BB71" s="13"/>
      <c r="BC71" s="13">
        <f>2500000+1000000</f>
        <v>3500000</v>
      </c>
      <c r="BD71" s="13"/>
      <c r="BE71" s="17"/>
      <c r="BF71" s="17"/>
    </row>
    <row r="72" spans="1:58" x14ac:dyDescent="0.25">
      <c r="A72" s="153" t="s">
        <v>1084</v>
      </c>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c r="AI72" s="96"/>
      <c r="AJ72" s="96"/>
      <c r="AK72" s="96"/>
      <c r="AL72" s="96"/>
      <c r="AM72" s="96"/>
      <c r="AN72" s="96"/>
      <c r="AO72" s="96"/>
      <c r="AP72" s="96"/>
      <c r="AQ72" s="96"/>
      <c r="AR72" s="96"/>
      <c r="AS72" s="96"/>
      <c r="AT72" s="96"/>
      <c r="AU72" s="18">
        <v>120000</v>
      </c>
      <c r="AV72" s="18"/>
      <c r="AW72" s="18">
        <v>140000</v>
      </c>
      <c r="AX72" s="18"/>
      <c r="AY72" s="18"/>
      <c r="AZ72" s="13"/>
      <c r="BA72" s="13"/>
      <c r="BB72" s="13"/>
      <c r="BC72" s="13"/>
      <c r="BD72" s="13"/>
      <c r="BE72" s="17"/>
      <c r="BF72" s="17"/>
    </row>
    <row r="73" spans="1:58" x14ac:dyDescent="0.25">
      <c r="A73" s="34" t="s">
        <v>988</v>
      </c>
      <c r="B73" s="96"/>
      <c r="C73" s="96"/>
      <c r="D73" s="96"/>
      <c r="E73" s="96"/>
      <c r="F73" s="96"/>
      <c r="G73" s="96"/>
      <c r="H73" s="96"/>
      <c r="I73" s="96"/>
      <c r="J73" s="96"/>
      <c r="K73" s="96"/>
      <c r="L73" s="96"/>
      <c r="M73" s="96"/>
      <c r="N73" s="96"/>
      <c r="O73" s="96"/>
      <c r="P73" s="96"/>
      <c r="Q73" s="96"/>
      <c r="R73" s="96"/>
      <c r="S73" s="96"/>
      <c r="T73" s="96"/>
      <c r="U73" s="96"/>
      <c r="V73" s="96"/>
      <c r="W73" s="96"/>
      <c r="X73" s="96"/>
      <c r="Y73" s="96"/>
      <c r="Z73" s="96"/>
      <c r="AA73" s="96"/>
      <c r="AB73" s="96"/>
      <c r="AC73" s="96"/>
      <c r="AD73" s="96"/>
      <c r="AE73" s="96">
        <v>769500</v>
      </c>
      <c r="AF73" s="96"/>
      <c r="AG73" s="96"/>
      <c r="AH73" s="96"/>
      <c r="AI73" s="96"/>
      <c r="AJ73" s="96"/>
      <c r="AK73" s="96">
        <v>1152000</v>
      </c>
      <c r="AL73" s="96">
        <v>1025000</v>
      </c>
      <c r="AM73" s="96"/>
      <c r="AN73" s="96">
        <v>1243000</v>
      </c>
      <c r="AO73" s="96">
        <v>1786000</v>
      </c>
      <c r="AP73" s="96"/>
      <c r="AQ73" s="96"/>
      <c r="AR73" s="96">
        <v>1800000</v>
      </c>
      <c r="AS73" s="96">
        <v>1800000</v>
      </c>
      <c r="AT73" s="96"/>
      <c r="AU73" s="18"/>
      <c r="AV73" s="18"/>
      <c r="AW73" s="18"/>
      <c r="AX73" s="18"/>
      <c r="AY73" s="18"/>
      <c r="AZ73" s="13"/>
      <c r="BA73" s="13"/>
      <c r="BB73" s="13"/>
      <c r="BC73" s="13"/>
      <c r="BD73" s="13"/>
      <c r="BE73" s="17"/>
      <c r="BF73" s="17"/>
    </row>
    <row r="74" spans="1:58" x14ac:dyDescent="0.25">
      <c r="A74" s="153" t="s">
        <v>1085</v>
      </c>
      <c r="B74" s="96"/>
      <c r="C74" s="96"/>
      <c r="D74" s="96"/>
      <c r="E74" s="96"/>
      <c r="F74" s="96"/>
      <c r="G74" s="96"/>
      <c r="H74" s="96"/>
      <c r="I74" s="96"/>
      <c r="J74" s="96"/>
      <c r="K74" s="96"/>
      <c r="L74" s="96"/>
      <c r="M74" s="96"/>
      <c r="N74" s="96"/>
      <c r="O74" s="96"/>
      <c r="P74" s="96"/>
      <c r="Q74" s="96"/>
      <c r="R74" s="96"/>
      <c r="S74" s="96"/>
      <c r="T74" s="96"/>
      <c r="U74" s="96"/>
      <c r="V74" s="96"/>
      <c r="W74" s="96"/>
      <c r="X74" s="96"/>
      <c r="Y74" s="96"/>
      <c r="Z74" s="96"/>
      <c r="AA74" s="96"/>
      <c r="AB74" s="96"/>
      <c r="AC74" s="96"/>
      <c r="AD74" s="96"/>
      <c r="AE74" s="96"/>
      <c r="AF74" s="96"/>
      <c r="AG74" s="96"/>
      <c r="AH74" s="96"/>
      <c r="AI74" s="96"/>
      <c r="AJ74" s="96"/>
      <c r="AK74" s="96"/>
      <c r="AL74" s="96"/>
      <c r="AM74" s="96"/>
      <c r="AN74" s="96"/>
      <c r="AO74" s="96"/>
      <c r="AP74" s="96"/>
      <c r="AQ74" s="96"/>
      <c r="AR74" s="96"/>
      <c r="AS74" s="96"/>
      <c r="AT74" s="96"/>
      <c r="AU74" s="18"/>
      <c r="AV74" s="18"/>
      <c r="AW74" s="18"/>
      <c r="AX74" s="18"/>
      <c r="AY74" s="18"/>
      <c r="AZ74" s="13"/>
      <c r="BA74" s="13"/>
      <c r="BB74" s="13"/>
      <c r="BC74" s="13">
        <v>20000000</v>
      </c>
      <c r="BD74" s="13">
        <v>20000000</v>
      </c>
      <c r="BE74" s="17"/>
      <c r="BF74" s="17"/>
    </row>
    <row r="75" spans="1:58" x14ac:dyDescent="0.25">
      <c r="A75" s="34" t="s">
        <v>288</v>
      </c>
      <c r="B75" s="96"/>
      <c r="C75" s="96"/>
      <c r="D75" s="96"/>
      <c r="E75" s="96"/>
      <c r="F75" s="96"/>
      <c r="G75" s="96"/>
      <c r="H75" s="96"/>
      <c r="I75" s="96"/>
      <c r="J75" s="96"/>
      <c r="K75" s="96"/>
      <c r="L75" s="96"/>
      <c r="M75" s="96"/>
      <c r="N75" s="96"/>
      <c r="O75" s="96"/>
      <c r="P75" s="96"/>
      <c r="Q75" s="96"/>
      <c r="R75" s="96"/>
      <c r="S75" s="96"/>
      <c r="T75" s="96"/>
      <c r="U75" s="96"/>
      <c r="V75" s="96"/>
      <c r="W75" s="96"/>
      <c r="X75" s="96"/>
      <c r="Y75" s="96"/>
      <c r="Z75" s="96"/>
      <c r="AA75" s="96"/>
      <c r="AB75" s="96"/>
      <c r="AC75" s="96"/>
      <c r="AD75" s="96"/>
      <c r="AE75" s="96"/>
      <c r="AF75" s="96"/>
      <c r="AG75" s="96"/>
      <c r="AH75" s="96">
        <v>2312400</v>
      </c>
      <c r="AI75" s="96">
        <v>1381800</v>
      </c>
      <c r="AJ75" s="96">
        <v>4455600</v>
      </c>
      <c r="AK75" s="96"/>
      <c r="AL75" s="96"/>
      <c r="AM75" s="96"/>
      <c r="AN75" s="96"/>
      <c r="AO75" s="96"/>
      <c r="AP75" s="96"/>
      <c r="AQ75" s="96"/>
      <c r="AR75" s="96"/>
      <c r="AS75" s="96"/>
      <c r="AT75" s="96"/>
      <c r="AU75" s="18"/>
      <c r="AV75" s="18"/>
      <c r="AW75" s="18"/>
      <c r="AX75" s="18"/>
      <c r="AY75" s="18"/>
      <c r="AZ75" s="13"/>
      <c r="BA75" s="13"/>
      <c r="BB75" s="13"/>
      <c r="BC75" s="13"/>
      <c r="BD75" s="13"/>
      <c r="BE75" s="17"/>
      <c r="BF75" s="17"/>
    </row>
    <row r="76" spans="1:58" x14ac:dyDescent="0.25">
      <c r="A76" s="34"/>
      <c r="B76" s="96"/>
      <c r="C76" s="96"/>
      <c r="D76" s="96"/>
      <c r="E76" s="96"/>
      <c r="F76" s="96"/>
      <c r="G76" s="96"/>
      <c r="H76" s="96"/>
      <c r="I76" s="96"/>
      <c r="J76" s="96"/>
      <c r="K76" s="96"/>
      <c r="L76" s="96"/>
      <c r="M76" s="96"/>
      <c r="N76" s="96"/>
      <c r="O76" s="96"/>
      <c r="P76" s="96"/>
      <c r="Q76" s="96"/>
      <c r="R76" s="96"/>
      <c r="S76" s="96"/>
      <c r="T76" s="96"/>
      <c r="U76" s="96"/>
      <c r="V76" s="96"/>
      <c r="W76" s="96"/>
      <c r="X76" s="96"/>
      <c r="Y76" s="96"/>
      <c r="Z76" s="96"/>
      <c r="AA76" s="96"/>
      <c r="AB76" s="96"/>
      <c r="AC76" s="96"/>
      <c r="AD76" s="96"/>
      <c r="AE76" s="96"/>
      <c r="AF76" s="96"/>
      <c r="AG76" s="96"/>
      <c r="AH76" s="96"/>
      <c r="AI76" s="96"/>
      <c r="AJ76" s="96"/>
      <c r="AK76" s="96"/>
      <c r="AL76" s="96"/>
      <c r="AM76" s="96"/>
      <c r="AN76" s="96"/>
      <c r="AO76" s="96"/>
      <c r="AP76" s="96"/>
      <c r="AQ76" s="96"/>
      <c r="AR76" s="96"/>
      <c r="AS76" s="96"/>
      <c r="AT76" s="96"/>
      <c r="AU76" s="18"/>
      <c r="AV76" s="18"/>
      <c r="AW76" s="18"/>
      <c r="AX76" s="18"/>
      <c r="AY76" s="18"/>
      <c r="AZ76" s="13"/>
      <c r="BA76" s="13"/>
      <c r="BB76" s="13"/>
      <c r="BC76" s="13"/>
      <c r="BD76" s="13"/>
      <c r="BE76" s="17"/>
      <c r="BF76" s="17"/>
    </row>
    <row r="77" spans="1:58" x14ac:dyDescent="0.25">
      <c r="A77" s="34" t="s">
        <v>448</v>
      </c>
      <c r="B77" s="96">
        <f>18910+80000+19080+82800+66000+140000+10000+126520</f>
        <v>543310</v>
      </c>
      <c r="C77" s="96"/>
      <c r="D77" s="96"/>
      <c r="E77" s="96">
        <f>2000+10000+30000+2800+307880</f>
        <v>352680</v>
      </c>
      <c r="F77" s="96">
        <f>18000+16000+282520</f>
        <v>316520</v>
      </c>
      <c r="G77" s="96">
        <f>3000+2000+6000+320100</f>
        <v>331100</v>
      </c>
      <c r="H77" s="96">
        <f>16800+2000+81420</f>
        <v>100220</v>
      </c>
      <c r="I77" s="96">
        <f>1000+27300+12000+146800</f>
        <v>187100</v>
      </c>
      <c r="J77" s="96">
        <f>481200+411200</f>
        <v>892400</v>
      </c>
      <c r="K77" s="96">
        <f>893000+16600</f>
        <v>909600</v>
      </c>
      <c r="L77" s="96"/>
      <c r="M77" s="96">
        <f>20000+688000</f>
        <v>708000</v>
      </c>
      <c r="N77" s="96"/>
      <c r="O77" s="96"/>
      <c r="P77" s="96"/>
      <c r="Q77" s="96"/>
      <c r="R77" s="96">
        <f>61254+111800</f>
        <v>173054</v>
      </c>
      <c r="S77" s="13">
        <f>(R77/15)*12</f>
        <v>138443.19999999998</v>
      </c>
      <c r="T77" s="96">
        <f>28000+134000</f>
        <v>162000</v>
      </c>
      <c r="U77" s="96">
        <f>9400+270800</f>
        <v>280200</v>
      </c>
      <c r="V77" s="96">
        <f>234497+257930</f>
        <v>492427</v>
      </c>
      <c r="W77" s="96"/>
      <c r="X77" s="96">
        <f>238880+189700</f>
        <v>428580</v>
      </c>
      <c r="Y77" s="96">
        <f>713200+443000</f>
        <v>1156200</v>
      </c>
      <c r="Z77" s="96">
        <f>637600+464350+520000</f>
        <v>1621950</v>
      </c>
      <c r="AA77" s="96"/>
      <c r="AB77" s="96"/>
      <c r="AC77" s="96">
        <v>1600000</v>
      </c>
      <c r="AD77" s="96">
        <v>2500000</v>
      </c>
      <c r="AE77" s="96">
        <v>773950</v>
      </c>
      <c r="AF77" s="96"/>
      <c r="AG77" s="96">
        <v>870000</v>
      </c>
      <c r="AH77" s="96">
        <v>1577000</v>
      </c>
      <c r="AI77" s="96">
        <v>737500</v>
      </c>
      <c r="AJ77" s="96">
        <v>1440000</v>
      </c>
      <c r="AK77" s="96">
        <v>441000</v>
      </c>
      <c r="AL77" s="96">
        <v>464000</v>
      </c>
      <c r="AM77" s="96">
        <v>1500000</v>
      </c>
      <c r="AN77" s="96">
        <v>1500000</v>
      </c>
      <c r="AO77" s="96">
        <v>1500000</v>
      </c>
      <c r="AP77" s="96"/>
      <c r="AQ77" s="96"/>
      <c r="AR77" s="96">
        <v>1200000</v>
      </c>
      <c r="AS77" s="96">
        <v>1200000</v>
      </c>
      <c r="AT77" s="96"/>
      <c r="AU77" s="18">
        <v>1500000</v>
      </c>
      <c r="AV77" s="18">
        <v>4088600</v>
      </c>
      <c r="AW77" s="18">
        <v>1500000</v>
      </c>
      <c r="AX77" s="18">
        <v>1500000</v>
      </c>
      <c r="AY77" s="18">
        <v>1500000</v>
      </c>
      <c r="AZ77" s="13">
        <v>400000</v>
      </c>
      <c r="BA77" s="13">
        <v>400000</v>
      </c>
      <c r="BB77" s="13"/>
      <c r="BC77" s="13"/>
      <c r="BD77" s="13"/>
      <c r="BE77" s="17"/>
      <c r="BF77" s="17"/>
    </row>
    <row r="78" spans="1:58" x14ac:dyDescent="0.25">
      <c r="A78" s="34"/>
      <c r="B78" s="96"/>
      <c r="C78" s="96"/>
      <c r="D78" s="96"/>
      <c r="E78" s="96"/>
      <c r="F78" s="96"/>
      <c r="G78" s="96"/>
      <c r="H78" s="96"/>
      <c r="I78" s="96"/>
      <c r="J78" s="96"/>
      <c r="K78" s="96"/>
      <c r="L78" s="96"/>
      <c r="M78" s="96"/>
      <c r="N78" s="96"/>
      <c r="O78" s="96"/>
      <c r="P78" s="96"/>
      <c r="Q78" s="96"/>
      <c r="R78" s="96"/>
      <c r="S78" s="96"/>
      <c r="T78" s="96"/>
      <c r="U78" s="96"/>
      <c r="V78" s="96"/>
      <c r="W78" s="96"/>
      <c r="X78" s="96"/>
      <c r="Y78" s="96"/>
      <c r="Z78" s="96"/>
      <c r="AA78" s="96"/>
      <c r="AB78" s="96"/>
      <c r="AC78" s="96"/>
      <c r="AD78" s="96"/>
      <c r="AE78" s="96"/>
      <c r="AF78" s="96"/>
      <c r="AG78" s="96"/>
      <c r="AH78" s="96"/>
      <c r="AI78" s="96"/>
      <c r="AJ78" s="96"/>
      <c r="AK78" s="96"/>
      <c r="AL78" s="96"/>
      <c r="AM78" s="96"/>
      <c r="AN78" s="96"/>
      <c r="AO78" s="96"/>
      <c r="AP78" s="96"/>
      <c r="AQ78" s="96"/>
      <c r="AR78" s="96"/>
      <c r="AS78" s="96"/>
      <c r="AT78" s="96"/>
      <c r="AU78" s="18"/>
      <c r="AV78" s="18"/>
      <c r="AW78" s="18"/>
      <c r="AX78" s="18"/>
      <c r="AY78" s="18"/>
      <c r="AZ78" s="13"/>
      <c r="BA78" s="13"/>
      <c r="BB78" s="13"/>
      <c r="BC78" s="13"/>
      <c r="BD78" s="13"/>
      <c r="BE78" s="17"/>
      <c r="BF78" s="17"/>
    </row>
    <row r="79" spans="1:58" x14ac:dyDescent="0.25">
      <c r="A79" s="34" t="s">
        <v>989</v>
      </c>
      <c r="B79" s="96"/>
      <c r="C79" s="96"/>
      <c r="D79" s="96"/>
      <c r="E79" s="96"/>
      <c r="F79" s="96"/>
      <c r="G79" s="96"/>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v>150000</v>
      </c>
      <c r="AL79" s="96"/>
      <c r="AM79" s="96"/>
      <c r="AN79" s="96"/>
      <c r="AO79" s="96"/>
      <c r="AP79" s="96"/>
      <c r="AQ79" s="96"/>
      <c r="AR79" s="96">
        <v>1510000</v>
      </c>
      <c r="AS79" s="96">
        <v>1510000</v>
      </c>
      <c r="AT79" s="96"/>
      <c r="AU79" s="18">
        <v>1500000</v>
      </c>
      <c r="AV79" s="18">
        <v>3544460</v>
      </c>
      <c r="AW79" s="18">
        <v>3600000</v>
      </c>
      <c r="AX79" s="18">
        <v>3700000</v>
      </c>
      <c r="AY79" s="18">
        <v>3700000</v>
      </c>
      <c r="AZ79" s="18">
        <v>3700000</v>
      </c>
      <c r="BA79" s="13">
        <v>3966200</v>
      </c>
      <c r="BB79" s="13"/>
      <c r="BC79" s="13">
        <v>3900000</v>
      </c>
      <c r="BD79" s="13">
        <v>3737000</v>
      </c>
      <c r="BE79" s="17"/>
      <c r="BF79" s="17"/>
    </row>
    <row r="80" spans="1:58" x14ac:dyDescent="0.25">
      <c r="A80" s="34" t="s">
        <v>992</v>
      </c>
      <c r="B80" s="96"/>
      <c r="C80" s="96"/>
      <c r="D80" s="96"/>
      <c r="E80" s="96"/>
      <c r="F80" s="96"/>
      <c r="G80" s="96"/>
      <c r="H80" s="96"/>
      <c r="I80" s="96"/>
      <c r="J80" s="96"/>
      <c r="K80" s="96"/>
      <c r="L80" s="96"/>
      <c r="M80" s="96"/>
      <c r="N80" s="96"/>
      <c r="O80" s="96"/>
      <c r="P80" s="96"/>
      <c r="Q80" s="96"/>
      <c r="R80" s="96"/>
      <c r="S80" s="96"/>
      <c r="T80" s="96"/>
      <c r="U80" s="96"/>
      <c r="V80" s="96"/>
      <c r="W80" s="96"/>
      <c r="X80" s="96"/>
      <c r="Y80" s="96"/>
      <c r="Z80" s="96"/>
      <c r="AA80" s="96"/>
      <c r="AB80" s="96"/>
      <c r="AC80" s="96"/>
      <c r="AD80" s="96"/>
      <c r="AE80" s="96"/>
      <c r="AF80" s="96"/>
      <c r="AG80" s="96"/>
      <c r="AH80" s="96"/>
      <c r="AI80" s="96"/>
      <c r="AJ80" s="96"/>
      <c r="AK80" s="96"/>
      <c r="AL80" s="96"/>
      <c r="AM80" s="96"/>
      <c r="AN80" s="96"/>
      <c r="AO80" s="96">
        <v>800000</v>
      </c>
      <c r="AP80" s="96"/>
      <c r="AQ80" s="96"/>
      <c r="AR80" s="96">
        <v>900000</v>
      </c>
      <c r="AS80" s="96">
        <v>900000</v>
      </c>
      <c r="AT80" s="96"/>
      <c r="AU80" s="18">
        <v>2700000</v>
      </c>
      <c r="AV80" s="18">
        <v>4188670</v>
      </c>
      <c r="AW80" s="18">
        <v>4500000</v>
      </c>
      <c r="AX80" s="18">
        <v>4500000</v>
      </c>
      <c r="AY80" s="18">
        <v>4500000</v>
      </c>
      <c r="AZ80" s="13">
        <v>2000000</v>
      </c>
      <c r="BA80" s="13">
        <v>2000000</v>
      </c>
      <c r="BB80" s="13"/>
      <c r="BC80" s="13">
        <v>2000000</v>
      </c>
      <c r="BD80" s="13">
        <v>2000000</v>
      </c>
      <c r="BE80" s="17"/>
      <c r="BF80" s="17"/>
    </row>
    <row r="81" spans="1:58" x14ac:dyDescent="0.25">
      <c r="A81" s="34" t="s">
        <v>839</v>
      </c>
      <c r="B81" s="96"/>
      <c r="C81" s="96"/>
      <c r="D81" s="96"/>
      <c r="E81" s="96"/>
      <c r="F81" s="96"/>
      <c r="G81" s="96"/>
      <c r="H81" s="96"/>
      <c r="I81" s="96"/>
      <c r="J81" s="96"/>
      <c r="K81" s="96"/>
      <c r="L81" s="96"/>
      <c r="M81" s="96"/>
      <c r="N81" s="96"/>
      <c r="O81" s="96"/>
      <c r="P81" s="96"/>
      <c r="Q81" s="96"/>
      <c r="R81" s="96"/>
      <c r="S81" s="96"/>
      <c r="T81" s="96"/>
      <c r="U81" s="96"/>
      <c r="V81" s="96"/>
      <c r="W81" s="96"/>
      <c r="X81" s="96"/>
      <c r="Y81" s="96"/>
      <c r="Z81" s="96"/>
      <c r="AA81" s="96"/>
      <c r="AB81" s="96"/>
      <c r="AC81" s="96">
        <v>2000000</v>
      </c>
      <c r="AD81" s="96">
        <v>2000000</v>
      </c>
      <c r="AE81" s="96">
        <v>1731200</v>
      </c>
      <c r="AF81" s="96"/>
      <c r="AG81" s="96">
        <v>2722810</v>
      </c>
      <c r="AH81" s="96">
        <v>3939300</v>
      </c>
      <c r="AI81" s="96">
        <v>3896130</v>
      </c>
      <c r="AJ81" s="96">
        <v>2928900</v>
      </c>
      <c r="AK81" s="96">
        <v>1990580</v>
      </c>
      <c r="AL81" s="96">
        <v>2910240</v>
      </c>
      <c r="AM81" s="96">
        <v>2000000</v>
      </c>
      <c r="AN81" s="96">
        <v>2000000</v>
      </c>
      <c r="AO81" s="96">
        <v>2000000</v>
      </c>
      <c r="AP81" s="96"/>
      <c r="AQ81" s="96"/>
      <c r="AR81" s="96">
        <v>2000000</v>
      </c>
      <c r="AS81" s="96">
        <v>2000000</v>
      </c>
      <c r="AT81" s="96"/>
      <c r="AU81" s="18">
        <v>4400000</v>
      </c>
      <c r="AV81" s="18">
        <v>4520900</v>
      </c>
      <c r="AW81" s="18">
        <v>4000000</v>
      </c>
      <c r="AX81" s="18">
        <v>4000000</v>
      </c>
      <c r="AY81" s="18">
        <f>1300000+2700000</f>
        <v>4000000</v>
      </c>
      <c r="AZ81" s="18">
        <f>1200000+2500000</f>
        <v>3700000</v>
      </c>
      <c r="BA81" s="18">
        <f>1600000+2500000</f>
        <v>4100000</v>
      </c>
      <c r="BB81" s="13"/>
      <c r="BC81" s="13">
        <f>1500000+2500000</f>
        <v>4000000</v>
      </c>
      <c r="BD81" s="13">
        <f>7000000+1900000</f>
        <v>8900000</v>
      </c>
      <c r="BE81" s="17"/>
      <c r="BF81" s="17"/>
    </row>
    <row r="82" spans="1:58" x14ac:dyDescent="0.25">
      <c r="A82" s="34" t="s">
        <v>993</v>
      </c>
      <c r="B82" s="96">
        <f>11260</f>
        <v>11260</v>
      </c>
      <c r="C82" s="96"/>
      <c r="D82" s="96"/>
      <c r="E82" s="96"/>
      <c r="F82" s="96"/>
      <c r="G82" s="96"/>
      <c r="H82" s="96"/>
      <c r="I82" s="96"/>
      <c r="J82" s="96">
        <v>13000</v>
      </c>
      <c r="K82" s="96"/>
      <c r="L82" s="96"/>
      <c r="M82" s="96"/>
      <c r="N82" s="96"/>
      <c r="O82" s="96"/>
      <c r="P82" s="96"/>
      <c r="Q82" s="96"/>
      <c r="R82" s="96"/>
      <c r="S82" s="96"/>
      <c r="T82" s="96"/>
      <c r="U82" s="96"/>
      <c r="V82" s="96"/>
      <c r="W82" s="96"/>
      <c r="X82" s="96"/>
      <c r="Y82" s="96"/>
      <c r="Z82" s="96"/>
      <c r="AA82" s="96"/>
      <c r="AB82" s="96"/>
      <c r="AC82" s="96"/>
      <c r="AD82" s="96"/>
      <c r="AE82" s="96"/>
      <c r="AF82" s="96"/>
      <c r="AG82" s="96">
        <f>1332830+3255036</f>
        <v>4587866</v>
      </c>
      <c r="AH82" s="96"/>
      <c r="AI82" s="96">
        <f>1090420+341000</f>
        <v>1431420</v>
      </c>
      <c r="AJ82" s="96">
        <f>458906+200000+190000</f>
        <v>848906</v>
      </c>
      <c r="AK82" s="96">
        <v>193070</v>
      </c>
      <c r="AL82" s="96">
        <f>123800</f>
        <v>123800</v>
      </c>
      <c r="AM82" s="96"/>
      <c r="AN82" s="96"/>
      <c r="AO82" s="96"/>
      <c r="AP82" s="96"/>
      <c r="AQ82" s="96"/>
      <c r="AR82" s="96"/>
      <c r="AS82" s="96"/>
      <c r="AT82" s="96"/>
      <c r="AU82" s="18"/>
      <c r="AV82" s="18"/>
      <c r="AW82" s="18"/>
      <c r="AX82" s="18"/>
      <c r="AY82" s="18"/>
      <c r="AZ82" s="18"/>
      <c r="BA82" s="18"/>
      <c r="BB82" s="13"/>
      <c r="BC82" s="13"/>
      <c r="BD82" s="13"/>
      <c r="BE82" s="17"/>
      <c r="BF82" s="17"/>
    </row>
    <row r="83" spans="1:58" x14ac:dyDescent="0.25">
      <c r="A83" s="153" t="s">
        <v>422</v>
      </c>
      <c r="B83" s="96">
        <v>40000</v>
      </c>
      <c r="C83" s="96"/>
      <c r="D83" s="96"/>
      <c r="E83" s="96"/>
      <c r="F83" s="96"/>
      <c r="G83" s="96"/>
      <c r="H83" s="96"/>
      <c r="I83" s="96"/>
      <c r="J83" s="96">
        <v>22840</v>
      </c>
      <c r="K83" s="96"/>
      <c r="L83" s="96"/>
      <c r="M83" s="96"/>
      <c r="N83" s="96"/>
      <c r="O83" s="96"/>
      <c r="P83" s="96"/>
      <c r="Q83" s="96"/>
      <c r="R83" s="96">
        <v>85000</v>
      </c>
      <c r="S83" s="13">
        <f>(R83/15)*12</f>
        <v>68000</v>
      </c>
      <c r="T83" s="96">
        <v>90569</v>
      </c>
      <c r="U83" s="96"/>
      <c r="V83" s="96"/>
      <c r="W83" s="96"/>
      <c r="X83" s="96"/>
      <c r="Y83" s="96"/>
      <c r="Z83" s="96"/>
      <c r="AA83" s="96"/>
      <c r="AB83" s="96"/>
      <c r="AC83" s="96"/>
      <c r="AD83" s="96"/>
      <c r="AE83" s="96"/>
      <c r="AF83" s="96"/>
      <c r="AG83" s="96"/>
      <c r="AH83" s="96">
        <v>1500</v>
      </c>
      <c r="AI83" s="96"/>
      <c r="AJ83" s="96"/>
      <c r="AK83" s="96">
        <v>7000</v>
      </c>
      <c r="AL83" s="96"/>
      <c r="AM83" s="96"/>
      <c r="AN83" s="96"/>
      <c r="AO83" s="96"/>
      <c r="AP83" s="96"/>
      <c r="AQ83" s="96"/>
      <c r="AR83" s="96"/>
      <c r="AS83" s="96"/>
      <c r="AT83" s="96"/>
      <c r="AU83" s="18"/>
      <c r="AV83" s="18"/>
      <c r="AW83" s="18"/>
      <c r="AX83" s="18"/>
      <c r="AY83" s="18"/>
      <c r="AZ83" s="18"/>
      <c r="BA83" s="18"/>
      <c r="BB83" s="13"/>
      <c r="BC83" s="13"/>
      <c r="BD83" s="13"/>
      <c r="BE83" s="17"/>
      <c r="BF83" s="17"/>
    </row>
    <row r="84" spans="1:58" x14ac:dyDescent="0.25">
      <c r="A84" s="153" t="s">
        <v>423</v>
      </c>
      <c r="B84" s="96"/>
      <c r="C84" s="96"/>
      <c r="D84" s="96"/>
      <c r="E84" s="96"/>
      <c r="F84" s="96"/>
      <c r="G84" s="96"/>
      <c r="H84" s="96"/>
      <c r="I84" s="96"/>
      <c r="J84" s="96">
        <f>10000+640</f>
        <v>10640</v>
      </c>
      <c r="K84" s="96"/>
      <c r="L84" s="96"/>
      <c r="M84" s="96"/>
      <c r="N84" s="96"/>
      <c r="O84" s="96"/>
      <c r="P84" s="96"/>
      <c r="Q84" s="96"/>
      <c r="R84" s="96">
        <v>20000</v>
      </c>
      <c r="S84" s="13">
        <f>(R84/15)*12</f>
        <v>16000</v>
      </c>
      <c r="T84" s="96"/>
      <c r="U84" s="96"/>
      <c r="V84" s="96"/>
      <c r="W84" s="96"/>
      <c r="X84" s="96"/>
      <c r="Y84" s="96"/>
      <c r="Z84" s="96"/>
      <c r="AA84" s="96"/>
      <c r="AB84" s="96"/>
      <c r="AC84" s="96"/>
      <c r="AD84" s="96"/>
      <c r="AE84" s="96">
        <v>1093200</v>
      </c>
      <c r="AF84" s="96"/>
      <c r="AG84" s="96">
        <f>1321500+7000</f>
        <v>1328500</v>
      </c>
      <c r="AH84" s="96">
        <v>282000</v>
      </c>
      <c r="AI84" s="96">
        <v>190860</v>
      </c>
      <c r="AJ84" s="96"/>
      <c r="AK84" s="96"/>
      <c r="AL84" s="96">
        <v>150000</v>
      </c>
      <c r="AM84" s="96"/>
      <c r="AN84" s="96"/>
      <c r="AO84" s="96">
        <v>16000000</v>
      </c>
      <c r="AP84" s="96"/>
      <c r="AQ84" s="96"/>
      <c r="AR84" s="96"/>
      <c r="AS84" s="96"/>
      <c r="AT84" s="96"/>
      <c r="AU84" s="18"/>
      <c r="AV84" s="18">
        <v>1256000</v>
      </c>
      <c r="AW84" s="18"/>
      <c r="AX84" s="18"/>
      <c r="AY84" s="18"/>
      <c r="AZ84" s="13"/>
      <c r="BA84" s="13"/>
      <c r="BB84" s="13"/>
      <c r="BC84" s="13">
        <v>20000000</v>
      </c>
      <c r="BD84" s="13">
        <v>20000000</v>
      </c>
      <c r="BE84" s="17"/>
      <c r="BF84" s="17"/>
    </row>
    <row r="85" spans="1:58" x14ac:dyDescent="0.25">
      <c r="A85" s="34"/>
      <c r="B85" s="96"/>
      <c r="C85" s="96"/>
      <c r="D85" s="96"/>
      <c r="E85" s="96"/>
      <c r="F85" s="96"/>
      <c r="G85" s="96"/>
      <c r="H85" s="96"/>
      <c r="I85" s="96"/>
      <c r="J85" s="96"/>
      <c r="K85" s="96"/>
      <c r="L85" s="96"/>
      <c r="M85" s="96"/>
      <c r="N85" s="96"/>
      <c r="O85" s="96"/>
      <c r="P85" s="96"/>
      <c r="Q85" s="96"/>
      <c r="R85" s="96"/>
      <c r="S85" s="96"/>
      <c r="T85" s="96"/>
      <c r="U85" s="96"/>
      <c r="V85" s="96"/>
      <c r="W85" s="96"/>
      <c r="X85" s="96"/>
      <c r="Y85" s="96"/>
      <c r="Z85" s="96"/>
      <c r="AA85" s="96"/>
      <c r="AB85" s="96"/>
      <c r="AC85" s="96"/>
      <c r="AD85" s="96"/>
      <c r="AE85" s="96"/>
      <c r="AF85" s="96"/>
      <c r="AG85" s="96"/>
      <c r="AH85" s="96"/>
      <c r="AI85" s="96"/>
      <c r="AJ85" s="96"/>
      <c r="AK85" s="96"/>
      <c r="AL85" s="96"/>
      <c r="AM85" s="96"/>
      <c r="AN85" s="96"/>
      <c r="AO85" s="96"/>
      <c r="AP85" s="96"/>
      <c r="AQ85" s="96"/>
      <c r="AR85" s="96"/>
      <c r="AS85" s="96"/>
      <c r="AT85" s="96"/>
      <c r="AU85" s="18"/>
      <c r="AV85" s="18"/>
      <c r="AW85" s="18"/>
      <c r="AX85" s="18"/>
      <c r="AY85" s="18"/>
      <c r="AZ85" s="13"/>
      <c r="BA85" s="13"/>
      <c r="BB85" s="13"/>
      <c r="BC85" s="13"/>
      <c r="BD85" s="13"/>
      <c r="BE85" s="17"/>
      <c r="BF85" s="17"/>
    </row>
    <row r="86" spans="1:58" x14ac:dyDescent="0.25">
      <c r="A86" s="34" t="s">
        <v>424</v>
      </c>
      <c r="B86" s="96"/>
      <c r="C86" s="96"/>
      <c r="D86" s="96"/>
      <c r="E86" s="96"/>
      <c r="F86" s="96"/>
      <c r="G86" s="96"/>
      <c r="H86" s="96"/>
      <c r="I86" s="96"/>
      <c r="J86" s="96"/>
      <c r="K86" s="96"/>
      <c r="L86" s="96"/>
      <c r="M86" s="96"/>
      <c r="N86" s="96"/>
      <c r="O86" s="96"/>
      <c r="P86" s="96"/>
      <c r="Q86" s="96"/>
      <c r="R86" s="96"/>
      <c r="S86" s="96"/>
      <c r="T86" s="96"/>
      <c r="U86" s="96"/>
      <c r="V86" s="96"/>
      <c r="W86" s="96"/>
      <c r="X86" s="96"/>
      <c r="Y86" s="96"/>
      <c r="Z86" s="96">
        <f>1239450+145600</f>
        <v>1385050</v>
      </c>
      <c r="AA86" s="96"/>
      <c r="AB86" s="96"/>
      <c r="AC86" s="96"/>
      <c r="AD86" s="96"/>
      <c r="AE86" s="96"/>
      <c r="AF86" s="96"/>
      <c r="AG86" s="96"/>
      <c r="AH86" s="96"/>
      <c r="AI86" s="96"/>
      <c r="AJ86" s="96"/>
      <c r="AK86" s="96"/>
      <c r="AL86" s="96">
        <f>97800-54003</f>
        <v>43797</v>
      </c>
      <c r="AM86" s="96"/>
      <c r="AN86" s="96"/>
      <c r="AO86" s="96"/>
      <c r="AP86" s="96"/>
      <c r="AQ86" s="96"/>
      <c r="AR86" s="96"/>
      <c r="AS86" s="96"/>
      <c r="AT86" s="96"/>
      <c r="AU86" s="18"/>
      <c r="AV86" s="18"/>
      <c r="AW86" s="18"/>
      <c r="AX86" s="18"/>
      <c r="AY86" s="18"/>
      <c r="AZ86" s="13"/>
      <c r="BA86" s="13"/>
      <c r="BB86" s="13"/>
      <c r="BC86" s="13"/>
      <c r="BD86" s="13"/>
      <c r="BE86" s="17"/>
      <c r="BF86" s="17"/>
    </row>
    <row r="87" spans="1:58" x14ac:dyDescent="0.25">
      <c r="A87" s="34"/>
      <c r="B87" s="96"/>
      <c r="C87" s="96"/>
      <c r="D87" s="96"/>
      <c r="E87" s="96"/>
      <c r="F87" s="96"/>
      <c r="G87" s="96"/>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c r="AH87" s="96"/>
      <c r="AI87" s="96"/>
      <c r="AJ87" s="96"/>
      <c r="AK87" s="96"/>
      <c r="AL87" s="96"/>
      <c r="AM87" s="96"/>
      <c r="AN87" s="96"/>
      <c r="AO87" s="96"/>
      <c r="AP87" s="96"/>
      <c r="AQ87" s="96"/>
      <c r="AR87" s="96"/>
      <c r="AS87" s="96"/>
      <c r="AT87" s="96"/>
      <c r="AU87" s="18"/>
      <c r="AV87" s="18"/>
      <c r="AW87" s="18"/>
      <c r="AX87" s="18"/>
      <c r="AY87" s="18"/>
      <c r="AZ87" s="13"/>
      <c r="BA87" s="13"/>
      <c r="BB87" s="13"/>
      <c r="BC87" s="13"/>
      <c r="BD87" s="13"/>
      <c r="BE87" s="17"/>
      <c r="BF87" s="17"/>
    </row>
    <row r="88" spans="1:58" x14ac:dyDescent="0.25">
      <c r="A88" s="34" t="s">
        <v>425</v>
      </c>
      <c r="B88" s="96"/>
      <c r="C88" s="96"/>
      <c r="D88" s="96"/>
      <c r="E88" s="96"/>
      <c r="F88" s="96"/>
      <c r="G88" s="96"/>
      <c r="H88" s="96"/>
      <c r="I88" s="96"/>
      <c r="J88" s="96"/>
      <c r="K88" s="96"/>
      <c r="L88" s="96"/>
      <c r="M88" s="96"/>
      <c r="N88" s="96"/>
      <c r="O88" s="96"/>
      <c r="P88" s="96"/>
      <c r="Q88" s="96"/>
      <c r="R88" s="96"/>
      <c r="S88" s="96"/>
      <c r="T88" s="96"/>
      <c r="U88" s="96"/>
      <c r="V88" s="96"/>
      <c r="W88" s="96"/>
      <c r="X88" s="96"/>
      <c r="Y88" s="96"/>
      <c r="Z88" s="96">
        <v>292000</v>
      </c>
      <c r="AA88" s="96"/>
      <c r="AB88" s="96"/>
      <c r="AC88" s="96"/>
      <c r="AD88" s="96"/>
      <c r="AE88" s="96"/>
      <c r="AF88" s="96"/>
      <c r="AG88" s="96"/>
      <c r="AH88" s="96"/>
      <c r="AI88" s="96"/>
      <c r="AJ88" s="96"/>
      <c r="AK88" s="96"/>
      <c r="AL88" s="96">
        <f>2877000+1500000</f>
        <v>4377000</v>
      </c>
      <c r="AM88" s="96"/>
      <c r="AN88" s="96"/>
      <c r="AO88" s="96"/>
      <c r="AP88" s="96"/>
      <c r="AQ88" s="96"/>
      <c r="AR88" s="96"/>
      <c r="AS88" s="96"/>
      <c r="AT88" s="96"/>
      <c r="AU88" s="18"/>
      <c r="AV88" s="18"/>
      <c r="AW88" s="18"/>
      <c r="AX88" s="18"/>
      <c r="AY88" s="18"/>
      <c r="AZ88" s="13"/>
      <c r="BA88" s="13"/>
      <c r="BB88" s="13"/>
      <c r="BC88" s="13"/>
      <c r="BD88" s="13"/>
      <c r="BE88" s="17"/>
      <c r="BF88" s="17"/>
    </row>
    <row r="89" spans="1:58" x14ac:dyDescent="0.25">
      <c r="A89" s="34" t="s">
        <v>449</v>
      </c>
      <c r="B89" s="96"/>
      <c r="C89" s="96"/>
      <c r="D89" s="96"/>
      <c r="E89" s="96"/>
      <c r="F89" s="96"/>
      <c r="G89" s="96"/>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c r="AH89" s="96"/>
      <c r="AI89" s="96"/>
      <c r="AJ89" s="96"/>
      <c r="AK89" s="96"/>
      <c r="AL89" s="96"/>
      <c r="AM89" s="96"/>
      <c r="AN89" s="96"/>
      <c r="AO89" s="96"/>
      <c r="AP89" s="96"/>
      <c r="AQ89" s="96"/>
      <c r="AR89" s="96"/>
      <c r="AS89" s="96"/>
      <c r="AT89" s="96"/>
      <c r="AU89" s="18"/>
      <c r="AV89" s="18"/>
      <c r="AW89" s="18"/>
      <c r="AX89" s="13"/>
      <c r="AY89" s="13"/>
      <c r="AZ89" s="13"/>
      <c r="BA89" s="13"/>
      <c r="BB89" s="13"/>
      <c r="BC89" s="13">
        <v>38593680</v>
      </c>
      <c r="BD89" s="13">
        <v>28000000</v>
      </c>
      <c r="BE89" s="17"/>
      <c r="BF89" s="17"/>
    </row>
    <row r="90" spans="1:58" ht="30" x14ac:dyDescent="0.25">
      <c r="A90" s="34" t="s">
        <v>450</v>
      </c>
      <c r="B90" s="96"/>
      <c r="C90" s="96"/>
      <c r="D90" s="96"/>
      <c r="E90" s="96"/>
      <c r="F90" s="96"/>
      <c r="G90" s="96"/>
      <c r="H90" s="96"/>
      <c r="I90" s="96"/>
      <c r="J90" s="96"/>
      <c r="K90" s="96"/>
      <c r="L90" s="96"/>
      <c r="M90" s="96"/>
      <c r="N90" s="96"/>
      <c r="O90" s="96"/>
      <c r="P90" s="96"/>
      <c r="Q90" s="96"/>
      <c r="R90" s="96"/>
      <c r="S90" s="96"/>
      <c r="T90" s="96"/>
      <c r="U90" s="96"/>
      <c r="V90" s="96"/>
      <c r="W90" s="96"/>
      <c r="X90" s="96"/>
      <c r="Y90" s="96"/>
      <c r="Z90" s="96"/>
      <c r="AA90" s="96"/>
      <c r="AB90" s="96"/>
      <c r="AC90" s="96"/>
      <c r="AD90" s="96"/>
      <c r="AE90" s="96"/>
      <c r="AF90" s="96"/>
      <c r="AG90" s="96"/>
      <c r="AH90" s="96"/>
      <c r="AI90" s="96"/>
      <c r="AJ90" s="96"/>
      <c r="AK90" s="96"/>
      <c r="AL90" s="96"/>
      <c r="AM90" s="96"/>
      <c r="AN90" s="96"/>
      <c r="AO90" s="96"/>
      <c r="AP90" s="96"/>
      <c r="AQ90" s="96"/>
      <c r="AR90" s="96"/>
      <c r="AS90" s="96"/>
      <c r="AT90" s="96"/>
      <c r="AU90" s="18"/>
      <c r="AV90" s="18"/>
      <c r="AW90" s="18"/>
      <c r="AX90" s="18"/>
      <c r="AY90" s="18"/>
      <c r="AZ90" s="13"/>
      <c r="BA90" s="13"/>
      <c r="BB90" s="13"/>
      <c r="BC90" s="13">
        <v>5424456</v>
      </c>
      <c r="BD90" s="13"/>
      <c r="BE90" s="17"/>
      <c r="BF90" s="17"/>
    </row>
    <row r="91" spans="1:58" x14ac:dyDescent="0.25">
      <c r="A91" s="34" t="s">
        <v>426</v>
      </c>
      <c r="B91" s="96"/>
      <c r="C91" s="96"/>
      <c r="D91" s="96"/>
      <c r="E91" s="96"/>
      <c r="F91" s="96"/>
      <c r="G91" s="96"/>
      <c r="H91" s="96"/>
      <c r="I91" s="96"/>
      <c r="J91" s="96"/>
      <c r="K91" s="96"/>
      <c r="L91" s="96"/>
      <c r="M91" s="96"/>
      <c r="N91" s="96"/>
      <c r="O91" s="96"/>
      <c r="P91" s="96"/>
      <c r="Q91" s="96"/>
      <c r="R91" s="96"/>
      <c r="S91" s="96"/>
      <c r="T91" s="96"/>
      <c r="U91" s="96"/>
      <c r="V91" s="96"/>
      <c r="W91" s="96"/>
      <c r="X91" s="96"/>
      <c r="Y91" s="96"/>
      <c r="Z91" s="96"/>
      <c r="AA91" s="96"/>
      <c r="AB91" s="96"/>
      <c r="AC91" s="96"/>
      <c r="AD91" s="96"/>
      <c r="AE91" s="96"/>
      <c r="AF91" s="96"/>
      <c r="AG91" s="96"/>
      <c r="AH91" s="96"/>
      <c r="AI91" s="96"/>
      <c r="AJ91" s="96"/>
      <c r="AK91" s="96"/>
      <c r="AL91" s="96"/>
      <c r="AM91" s="96"/>
      <c r="AN91" s="96"/>
      <c r="AO91" s="96"/>
      <c r="AP91" s="96"/>
      <c r="AQ91" s="96"/>
      <c r="AR91" s="96"/>
      <c r="AS91" s="96"/>
      <c r="AT91" s="96"/>
      <c r="AU91" s="18"/>
      <c r="AV91" s="18"/>
      <c r="AW91" s="18"/>
      <c r="AX91" s="18"/>
      <c r="AY91" s="18"/>
      <c r="AZ91" s="13"/>
      <c r="BA91" s="13">
        <v>74720270</v>
      </c>
      <c r="BB91" s="13"/>
      <c r="BC91" s="13"/>
      <c r="BD91" s="13"/>
      <c r="BE91" s="17"/>
      <c r="BF91" s="17"/>
    </row>
    <row r="92" spans="1:58" x14ac:dyDescent="0.25">
      <c r="A92" s="34" t="s">
        <v>451</v>
      </c>
      <c r="B92" s="96"/>
      <c r="C92" s="96"/>
      <c r="D92" s="96"/>
      <c r="E92" s="96">
        <v>400000</v>
      </c>
      <c r="F92" s="96"/>
      <c r="G92" s="96"/>
      <c r="H92" s="96"/>
      <c r="I92" s="96"/>
      <c r="J92" s="96"/>
      <c r="K92" s="96"/>
      <c r="L92" s="96"/>
      <c r="M92" s="96"/>
      <c r="N92" s="96"/>
      <c r="O92" s="96"/>
      <c r="P92" s="96"/>
      <c r="Q92" s="96"/>
      <c r="R92" s="96"/>
      <c r="S92" s="96"/>
      <c r="T92" s="96"/>
      <c r="U92" s="96"/>
      <c r="V92" s="96"/>
      <c r="W92" s="96"/>
      <c r="X92" s="96"/>
      <c r="Y92" s="96"/>
      <c r="Z92" s="96"/>
      <c r="AA92" s="96"/>
      <c r="AB92" s="96"/>
      <c r="AC92" s="96"/>
      <c r="AD92" s="96"/>
      <c r="AE92" s="96"/>
      <c r="AF92" s="96"/>
      <c r="AG92" s="96"/>
      <c r="AH92" s="96"/>
      <c r="AI92" s="96"/>
      <c r="AJ92" s="96"/>
      <c r="AK92" s="96"/>
      <c r="AL92" s="96"/>
      <c r="AM92" s="96"/>
      <c r="AN92" s="96"/>
      <c r="AO92" s="96"/>
      <c r="AP92" s="96"/>
      <c r="AQ92" s="96"/>
      <c r="AR92" s="96"/>
      <c r="AS92" s="96"/>
      <c r="AT92" s="96"/>
      <c r="AU92" s="18"/>
      <c r="AV92" s="18"/>
      <c r="AW92" s="18"/>
      <c r="AX92" s="18"/>
      <c r="AY92" s="18"/>
      <c r="AZ92" s="13"/>
      <c r="BA92" s="13"/>
      <c r="BB92" s="13"/>
      <c r="BC92" s="13"/>
      <c r="BD92" s="13"/>
      <c r="BE92" s="17"/>
      <c r="BF92" s="17"/>
    </row>
    <row r="93" spans="1:58" ht="30" x14ac:dyDescent="0.25">
      <c r="A93" s="34" t="s">
        <v>994</v>
      </c>
      <c r="B93" s="96"/>
      <c r="C93" s="96"/>
      <c r="D93" s="96"/>
      <c r="E93" s="96"/>
      <c r="F93" s="96"/>
      <c r="G93" s="96">
        <v>50000</v>
      </c>
      <c r="H93" s="96"/>
      <c r="I93" s="96"/>
      <c r="J93" s="96"/>
      <c r="K93" s="96"/>
      <c r="L93" s="96"/>
      <c r="M93" s="96"/>
      <c r="N93" s="96"/>
      <c r="O93" s="96"/>
      <c r="P93" s="96"/>
      <c r="Q93" s="96"/>
      <c r="R93" s="96"/>
      <c r="S93" s="96"/>
      <c r="T93" s="96"/>
      <c r="U93" s="96"/>
      <c r="V93" s="96"/>
      <c r="W93" s="96"/>
      <c r="X93" s="96"/>
      <c r="Y93" s="96"/>
      <c r="Z93" s="96"/>
      <c r="AA93" s="96"/>
      <c r="AB93" s="96"/>
      <c r="AC93" s="96"/>
      <c r="AD93" s="96"/>
      <c r="AE93" s="96"/>
      <c r="AF93" s="96"/>
      <c r="AG93" s="96"/>
      <c r="AH93" s="96"/>
      <c r="AI93" s="96"/>
      <c r="AJ93" s="96"/>
      <c r="AK93" s="96"/>
      <c r="AL93" s="96"/>
      <c r="AM93" s="96"/>
      <c r="AN93" s="96"/>
      <c r="AO93" s="96"/>
      <c r="AP93" s="96"/>
      <c r="AQ93" s="96"/>
      <c r="AR93" s="96"/>
      <c r="AS93" s="96"/>
      <c r="AT93" s="96"/>
      <c r="AU93" s="18"/>
      <c r="AV93" s="18"/>
      <c r="AW93" s="18"/>
      <c r="AX93" s="18"/>
      <c r="AY93" s="18"/>
      <c r="AZ93" s="13"/>
      <c r="BA93" s="13"/>
      <c r="BB93" s="13"/>
      <c r="BC93" s="13"/>
      <c r="BD93" s="13"/>
      <c r="BE93" s="17"/>
      <c r="BF93" s="17"/>
    </row>
    <row r="94" spans="1:58" ht="30" x14ac:dyDescent="0.25">
      <c r="A94" s="153" t="s">
        <v>1086</v>
      </c>
      <c r="B94" s="96"/>
      <c r="C94" s="96"/>
      <c r="D94" s="96"/>
      <c r="E94" s="96"/>
      <c r="F94" s="96"/>
      <c r="G94" s="96"/>
      <c r="H94" s="96"/>
      <c r="I94" s="96"/>
      <c r="J94" s="96"/>
      <c r="K94" s="96"/>
      <c r="L94" s="96"/>
      <c r="M94" s="96"/>
      <c r="N94" s="96"/>
      <c r="O94" s="96"/>
      <c r="P94" s="96"/>
      <c r="Q94" s="96"/>
      <c r="R94" s="96"/>
      <c r="S94" s="96"/>
      <c r="T94" s="96"/>
      <c r="U94" s="96"/>
      <c r="V94" s="96"/>
      <c r="W94" s="96"/>
      <c r="X94" s="96"/>
      <c r="Y94" s="96"/>
      <c r="Z94" s="96"/>
      <c r="AA94" s="96"/>
      <c r="AB94" s="96"/>
      <c r="AC94" s="96"/>
      <c r="AD94" s="96"/>
      <c r="AE94" s="96"/>
      <c r="AF94" s="96"/>
      <c r="AG94" s="96"/>
      <c r="AH94" s="96"/>
      <c r="AI94" s="96"/>
      <c r="AJ94" s="96"/>
      <c r="AK94" s="96"/>
      <c r="AL94" s="96"/>
      <c r="AM94" s="96"/>
      <c r="AN94" s="96"/>
      <c r="AO94" s="96"/>
      <c r="AP94" s="96"/>
      <c r="AQ94" s="96"/>
      <c r="AR94" s="96"/>
      <c r="AS94" s="96"/>
      <c r="AT94" s="96"/>
      <c r="AU94" s="18"/>
      <c r="AV94" s="18">
        <v>33000000</v>
      </c>
      <c r="AW94" s="18">
        <v>33000000</v>
      </c>
      <c r="AX94" s="18">
        <v>33000000</v>
      </c>
      <c r="AY94" s="18">
        <v>33000000</v>
      </c>
      <c r="AZ94" s="18">
        <v>33000000</v>
      </c>
      <c r="BA94" s="18">
        <v>33000000</v>
      </c>
      <c r="BB94" s="13"/>
      <c r="BC94" s="18">
        <v>33000000</v>
      </c>
      <c r="BD94" s="13">
        <v>33000000</v>
      </c>
      <c r="BE94" s="17"/>
      <c r="BF94" s="17"/>
    </row>
    <row r="95" spans="1:58" x14ac:dyDescent="0.25">
      <c r="A95" s="82"/>
      <c r="B95" s="96"/>
      <c r="C95" s="96"/>
      <c r="D95" s="96"/>
      <c r="E95" s="96"/>
      <c r="F95" s="96"/>
      <c r="G95" s="96"/>
      <c r="H95" s="96"/>
      <c r="I95" s="96"/>
      <c r="J95" s="96"/>
      <c r="K95" s="96"/>
      <c r="L95" s="96"/>
      <c r="M95" s="96"/>
      <c r="N95" s="96"/>
      <c r="O95" s="96"/>
      <c r="P95" s="96"/>
      <c r="Q95" s="96"/>
      <c r="R95" s="96"/>
      <c r="S95" s="96"/>
      <c r="T95" s="96"/>
      <c r="U95" s="96"/>
      <c r="V95" s="96"/>
      <c r="W95" s="96"/>
      <c r="X95" s="96"/>
      <c r="Y95" s="96"/>
      <c r="Z95" s="96"/>
      <c r="AA95" s="96"/>
      <c r="AB95" s="96"/>
      <c r="AC95" s="96"/>
      <c r="AD95" s="96"/>
      <c r="AE95" s="96"/>
      <c r="AF95" s="96"/>
      <c r="AG95" s="96"/>
      <c r="AH95" s="96"/>
      <c r="AI95" s="96"/>
      <c r="AJ95" s="96"/>
      <c r="AK95" s="96"/>
      <c r="AL95" s="96"/>
      <c r="AM95" s="96"/>
      <c r="AN95" s="96"/>
      <c r="AO95" s="96"/>
      <c r="AP95" s="96"/>
      <c r="AQ95" s="96"/>
      <c r="AR95" s="96"/>
      <c r="AS95" s="96"/>
      <c r="AT95" s="96"/>
      <c r="AU95" s="18"/>
      <c r="AV95" s="18"/>
      <c r="AW95" s="18"/>
      <c r="AX95" s="18"/>
      <c r="AY95" s="18"/>
      <c r="AZ95" s="13"/>
      <c r="BA95" s="13"/>
      <c r="BB95" s="13"/>
      <c r="BC95" s="13"/>
      <c r="BD95" s="13"/>
      <c r="BE95" s="17"/>
      <c r="BF95" s="17"/>
    </row>
    <row r="96" spans="1:58" x14ac:dyDescent="0.25">
      <c r="A96" s="89" t="s">
        <v>83</v>
      </c>
      <c r="B96" s="97">
        <f>SUM(B8:B94)</f>
        <v>1364048</v>
      </c>
      <c r="C96" s="97"/>
      <c r="D96" s="97"/>
      <c r="E96" s="97">
        <f t="shared" ref="E96:K96" si="0">SUM(E8:E94)</f>
        <v>2634348</v>
      </c>
      <c r="F96" s="97">
        <f t="shared" si="0"/>
        <v>2106719</v>
      </c>
      <c r="G96" s="97">
        <f t="shared" si="0"/>
        <v>2261617</v>
      </c>
      <c r="H96" s="97">
        <f t="shared" si="0"/>
        <v>726060</v>
      </c>
      <c r="I96" s="97">
        <f t="shared" si="0"/>
        <v>1412834</v>
      </c>
      <c r="J96" s="97">
        <f t="shared" si="0"/>
        <v>2093127</v>
      </c>
      <c r="K96" s="97">
        <f t="shared" si="0"/>
        <v>2029495</v>
      </c>
      <c r="L96" s="97"/>
      <c r="M96" s="97">
        <f>SUM(M8:M94)</f>
        <v>2438247</v>
      </c>
      <c r="N96" s="97"/>
      <c r="O96" s="97"/>
      <c r="P96" s="97"/>
      <c r="Q96" s="97"/>
      <c r="R96" s="97">
        <f>SUM(R8:R94)</f>
        <v>3668518</v>
      </c>
      <c r="S96" s="28">
        <f>(R96/15)*12</f>
        <v>2934814.4</v>
      </c>
      <c r="T96" s="97">
        <f>SUM(T8:T94)</f>
        <v>1867791</v>
      </c>
      <c r="U96" s="97">
        <f>SUM(U8:U94)</f>
        <v>1825400</v>
      </c>
      <c r="V96" s="97">
        <f>SUM(V8:V94)</f>
        <v>2669168</v>
      </c>
      <c r="W96" s="97"/>
      <c r="X96" s="97">
        <f>SUM(X8:X94)</f>
        <v>4640687</v>
      </c>
      <c r="Y96" s="97">
        <f>SUM(Y8:Y94)</f>
        <v>6670143</v>
      </c>
      <c r="Z96" s="97">
        <f>SUM(Z8:Z94)</f>
        <v>12242616</v>
      </c>
      <c r="AA96" s="97"/>
      <c r="AB96" s="97"/>
      <c r="AC96" s="97">
        <f>SUM(AC8:AC94)</f>
        <v>15385000</v>
      </c>
      <c r="AD96" s="97">
        <f>SUM(AD8:AD94)</f>
        <v>15410000</v>
      </c>
      <c r="AE96" s="97">
        <f>SUM(AE8:AE94)</f>
        <v>19079795</v>
      </c>
      <c r="AF96" s="97"/>
      <c r="AG96" s="97">
        <f t="shared" ref="AG96:AO96" si="1">SUM(AG8:AG94)</f>
        <v>26945200</v>
      </c>
      <c r="AH96" s="97">
        <f t="shared" si="1"/>
        <v>36824058</v>
      </c>
      <c r="AI96" s="97">
        <f t="shared" si="1"/>
        <v>38993148</v>
      </c>
      <c r="AJ96" s="97">
        <f t="shared" si="1"/>
        <v>36042090</v>
      </c>
      <c r="AK96" s="97">
        <f t="shared" si="1"/>
        <v>42912887</v>
      </c>
      <c r="AL96" s="97">
        <f t="shared" si="1"/>
        <v>34861649</v>
      </c>
      <c r="AM96" s="97">
        <f t="shared" si="1"/>
        <v>29725281</v>
      </c>
      <c r="AN96" s="97">
        <f t="shared" si="1"/>
        <v>31413000</v>
      </c>
      <c r="AO96" s="97">
        <f t="shared" si="1"/>
        <v>49650000</v>
      </c>
      <c r="AP96" s="97"/>
      <c r="AQ96" s="97"/>
      <c r="AR96" s="97">
        <f>SUM(AR8:AR94)</f>
        <v>42012000</v>
      </c>
      <c r="AS96" s="97">
        <f>SUM(AS8:AS94)</f>
        <v>42020000</v>
      </c>
      <c r="AT96" s="97"/>
      <c r="AU96" s="28">
        <f t="shared" ref="AU96:BA96" si="2">SUM(AU8:AU94)</f>
        <v>76000000</v>
      </c>
      <c r="AV96" s="28">
        <f t="shared" si="2"/>
        <v>145424322</v>
      </c>
      <c r="AW96" s="28">
        <f t="shared" si="2"/>
        <v>108100000</v>
      </c>
      <c r="AX96" s="28">
        <f t="shared" si="2"/>
        <v>110200000</v>
      </c>
      <c r="AY96" s="28">
        <f t="shared" si="2"/>
        <v>116300000</v>
      </c>
      <c r="AZ96" s="28">
        <f t="shared" si="2"/>
        <v>155678852</v>
      </c>
      <c r="BA96" s="28">
        <f t="shared" si="2"/>
        <v>202186470</v>
      </c>
      <c r="BB96" s="28"/>
      <c r="BC96" s="28">
        <f>SUM(BC8:BC94)</f>
        <v>281418136</v>
      </c>
      <c r="BD96" s="28">
        <f>SUM(BD8:BD94)</f>
        <v>224242600</v>
      </c>
      <c r="BE96" s="17"/>
      <c r="BF96" s="17"/>
    </row>
    <row r="97" spans="1:61" x14ac:dyDescent="0.25">
      <c r="A97" s="81"/>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7"/>
      <c r="BA97" s="17"/>
      <c r="BB97" s="17"/>
      <c r="BC97" s="17"/>
      <c r="BD97" s="17"/>
      <c r="BE97" s="17"/>
      <c r="BF97" s="17"/>
    </row>
    <row r="98" spans="1:61" x14ac:dyDescent="0.25">
      <c r="A98" s="86" t="s">
        <v>619</v>
      </c>
      <c r="B98" s="42">
        <f t="shared" ref="B98:AG98" si="3">B96-B8</f>
        <v>1149370</v>
      </c>
      <c r="C98" s="42">
        <f t="shared" si="3"/>
        <v>0</v>
      </c>
      <c r="D98" s="42">
        <f t="shared" si="3"/>
        <v>0</v>
      </c>
      <c r="E98" s="42">
        <f t="shared" si="3"/>
        <v>1465380</v>
      </c>
      <c r="F98" s="42">
        <f t="shared" si="3"/>
        <v>1077170</v>
      </c>
      <c r="G98" s="42">
        <f t="shared" si="3"/>
        <v>1219920</v>
      </c>
      <c r="H98" s="42">
        <f t="shared" si="3"/>
        <v>726060</v>
      </c>
      <c r="I98" s="42">
        <f t="shared" si="3"/>
        <v>908810</v>
      </c>
      <c r="J98" s="42">
        <f t="shared" si="3"/>
        <v>1674350</v>
      </c>
      <c r="K98" s="42">
        <f t="shared" si="3"/>
        <v>1665959</v>
      </c>
      <c r="L98" s="42">
        <f t="shared" si="3"/>
        <v>0</v>
      </c>
      <c r="M98" s="42">
        <f t="shared" si="3"/>
        <v>1924067</v>
      </c>
      <c r="N98" s="42">
        <f t="shared" si="3"/>
        <v>0</v>
      </c>
      <c r="O98" s="42">
        <f t="shared" si="3"/>
        <v>0</v>
      </c>
      <c r="P98" s="42">
        <f t="shared" si="3"/>
        <v>0</v>
      </c>
      <c r="Q98" s="42">
        <f t="shared" si="3"/>
        <v>0</v>
      </c>
      <c r="R98" s="42">
        <f t="shared" si="3"/>
        <v>1989204</v>
      </c>
      <c r="S98" s="42">
        <f t="shared" si="3"/>
        <v>1591363.2</v>
      </c>
      <c r="T98" s="42">
        <f t="shared" si="3"/>
        <v>1801869</v>
      </c>
      <c r="U98" s="42">
        <f t="shared" si="3"/>
        <v>1778600</v>
      </c>
      <c r="V98" s="42">
        <f t="shared" si="3"/>
        <v>2270827</v>
      </c>
      <c r="W98" s="42">
        <f t="shared" si="3"/>
        <v>0</v>
      </c>
      <c r="X98" s="42">
        <f t="shared" si="3"/>
        <v>3395488</v>
      </c>
      <c r="Y98" s="42">
        <f t="shared" si="3"/>
        <v>4841358</v>
      </c>
      <c r="Z98" s="42">
        <f t="shared" si="3"/>
        <v>9690799</v>
      </c>
      <c r="AA98" s="42">
        <f t="shared" si="3"/>
        <v>0</v>
      </c>
      <c r="AB98" s="42">
        <f t="shared" si="3"/>
        <v>0</v>
      </c>
      <c r="AC98" s="42">
        <f t="shared" si="3"/>
        <v>15385000</v>
      </c>
      <c r="AD98" s="42">
        <f t="shared" si="3"/>
        <v>15410000</v>
      </c>
      <c r="AE98" s="42">
        <f t="shared" si="3"/>
        <v>19053623</v>
      </c>
      <c r="AF98" s="42">
        <f t="shared" si="3"/>
        <v>0</v>
      </c>
      <c r="AG98" s="42">
        <f t="shared" si="3"/>
        <v>25661337</v>
      </c>
      <c r="AH98" s="42">
        <f t="shared" ref="AH98:BD98" si="4">AH96-AH8</f>
        <v>31590831</v>
      </c>
      <c r="AI98" s="42">
        <f t="shared" si="4"/>
        <v>30428970</v>
      </c>
      <c r="AJ98" s="42">
        <f t="shared" si="4"/>
        <v>35337978</v>
      </c>
      <c r="AK98" s="42">
        <f t="shared" si="4"/>
        <v>29055790</v>
      </c>
      <c r="AL98" s="42">
        <f t="shared" si="4"/>
        <v>33635365</v>
      </c>
      <c r="AM98" s="42">
        <f t="shared" si="4"/>
        <v>28499000</v>
      </c>
      <c r="AN98" s="42">
        <f t="shared" si="4"/>
        <v>31413000</v>
      </c>
      <c r="AO98" s="42">
        <f t="shared" si="4"/>
        <v>49650000</v>
      </c>
      <c r="AP98" s="42">
        <f t="shared" si="4"/>
        <v>0</v>
      </c>
      <c r="AQ98" s="42">
        <f t="shared" si="4"/>
        <v>0</v>
      </c>
      <c r="AR98" s="42">
        <f t="shared" si="4"/>
        <v>42012000</v>
      </c>
      <c r="AS98" s="42">
        <f t="shared" si="4"/>
        <v>42020000</v>
      </c>
      <c r="AT98" s="42">
        <f t="shared" si="4"/>
        <v>0</v>
      </c>
      <c r="AU98" s="42">
        <f t="shared" si="4"/>
        <v>76000000</v>
      </c>
      <c r="AV98" s="42">
        <f t="shared" si="4"/>
        <v>125266687</v>
      </c>
      <c r="AW98" s="42">
        <f t="shared" si="4"/>
        <v>108100000</v>
      </c>
      <c r="AX98" s="42">
        <f t="shared" si="4"/>
        <v>110200000</v>
      </c>
      <c r="AY98" s="42">
        <f t="shared" si="4"/>
        <v>116300000</v>
      </c>
      <c r="AZ98" s="42">
        <f t="shared" si="4"/>
        <v>119800000</v>
      </c>
      <c r="BA98" s="42">
        <f t="shared" si="4"/>
        <v>202186470</v>
      </c>
      <c r="BB98" s="42">
        <f t="shared" si="4"/>
        <v>0</v>
      </c>
      <c r="BC98" s="42">
        <f t="shared" si="4"/>
        <v>281418136</v>
      </c>
      <c r="BD98" s="42">
        <f t="shared" si="4"/>
        <v>224242600</v>
      </c>
      <c r="BE98" s="17"/>
      <c r="BF98" s="17"/>
    </row>
    <row r="99" spans="1:61" x14ac:dyDescent="0.25">
      <c r="A99" s="81"/>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7"/>
      <c r="BA99" s="17"/>
      <c r="BB99" s="17"/>
      <c r="BC99" s="17"/>
      <c r="BD99" s="17"/>
      <c r="BE99" s="17"/>
      <c r="BF99" s="17"/>
    </row>
    <row r="100" spans="1:61" x14ac:dyDescent="0.25">
      <c r="A100" s="101"/>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3"/>
      <c r="BA100" s="103"/>
      <c r="BB100" s="103"/>
      <c r="BC100" s="103"/>
      <c r="BD100" s="103"/>
      <c r="BE100" s="103"/>
      <c r="BF100" s="103"/>
      <c r="BG100" s="104"/>
      <c r="BH100" s="104"/>
      <c r="BI100" s="104"/>
    </row>
    <row r="101" spans="1:61" x14ac:dyDescent="0.25">
      <c r="A101" s="81"/>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7"/>
      <c r="BA101" s="17"/>
      <c r="BB101" s="17"/>
      <c r="BC101" s="17"/>
      <c r="BD101" s="17"/>
      <c r="BE101" s="17"/>
      <c r="BF101" s="17"/>
    </row>
    <row r="102" spans="1:61" x14ac:dyDescent="0.25">
      <c r="A102" s="78" t="s">
        <v>301</v>
      </c>
    </row>
    <row r="103" spans="1:61" x14ac:dyDescent="0.25">
      <c r="A103" s="79" t="s">
        <v>409</v>
      </c>
      <c r="B103" s="15" t="s">
        <v>1125</v>
      </c>
      <c r="C103" s="15"/>
      <c r="D103" s="15"/>
      <c r="E103" s="16" t="s">
        <v>1126</v>
      </c>
      <c r="F103" s="16" t="s">
        <v>1127</v>
      </c>
      <c r="G103" s="16" t="s">
        <v>1128</v>
      </c>
      <c r="H103" s="16" t="s">
        <v>1128</v>
      </c>
      <c r="I103" s="15" t="s">
        <v>1112</v>
      </c>
      <c r="J103" s="16" t="s">
        <v>1112</v>
      </c>
      <c r="K103" s="16" t="s">
        <v>1129</v>
      </c>
      <c r="L103" s="16"/>
      <c r="M103" s="15" t="s">
        <v>1114</v>
      </c>
      <c r="N103" s="15"/>
      <c r="O103" s="15"/>
      <c r="P103" s="15"/>
      <c r="Q103" s="16"/>
      <c r="R103" s="16" t="s">
        <v>1115</v>
      </c>
      <c r="S103" s="16" t="s">
        <v>453</v>
      </c>
      <c r="T103" s="16" t="s">
        <v>1130</v>
      </c>
      <c r="U103" s="16" t="s">
        <v>1116</v>
      </c>
      <c r="V103" s="15" t="s">
        <v>1131</v>
      </c>
      <c r="W103" s="16"/>
      <c r="X103" s="16" t="s">
        <v>1132</v>
      </c>
      <c r="Y103" s="16" t="s">
        <v>180</v>
      </c>
      <c r="Z103" s="16" t="s">
        <v>181</v>
      </c>
      <c r="AA103" s="16"/>
      <c r="AB103" s="16"/>
      <c r="AC103" s="16" t="s">
        <v>1133</v>
      </c>
      <c r="AD103" s="16" t="s">
        <v>1133</v>
      </c>
      <c r="AE103" s="16" t="s">
        <v>4</v>
      </c>
      <c r="AF103" s="16"/>
      <c r="AG103" s="16" t="s">
        <v>1119</v>
      </c>
      <c r="AH103" s="16" t="s">
        <v>310</v>
      </c>
      <c r="AI103" s="16" t="s">
        <v>311</v>
      </c>
      <c r="AJ103" s="16" t="s">
        <v>312</v>
      </c>
      <c r="AK103" s="16" t="s">
        <v>313</v>
      </c>
      <c r="AL103" s="22" t="s">
        <v>188</v>
      </c>
      <c r="AM103" s="16" t="s">
        <v>313</v>
      </c>
      <c r="AN103" s="16" t="s">
        <v>314</v>
      </c>
      <c r="AO103" s="16" t="s">
        <v>315</v>
      </c>
      <c r="AP103" s="16"/>
      <c r="AQ103" s="16"/>
      <c r="AR103" s="16" t="s">
        <v>316</v>
      </c>
      <c r="AS103" s="16" t="s">
        <v>317</v>
      </c>
      <c r="AT103" s="16"/>
      <c r="AU103" s="15" t="s">
        <v>318</v>
      </c>
      <c r="AV103" s="16" t="s">
        <v>196</v>
      </c>
      <c r="AW103" s="16" t="s">
        <v>195</v>
      </c>
      <c r="AX103" s="16" t="s">
        <v>196</v>
      </c>
      <c r="AY103" s="16" t="s">
        <v>197</v>
      </c>
      <c r="AZ103" s="16" t="s">
        <v>319</v>
      </c>
      <c r="BA103" s="16" t="s">
        <v>320</v>
      </c>
      <c r="BB103" s="16"/>
      <c r="BC103" s="16" t="s">
        <v>1134</v>
      </c>
      <c r="BD103" s="16" t="s">
        <v>1135</v>
      </c>
      <c r="BE103" s="16"/>
      <c r="BF103" s="16"/>
    </row>
    <row r="104" spans="1:61" x14ac:dyDescent="0.25">
      <c r="A104" s="79" t="s">
        <v>428</v>
      </c>
      <c r="B104" s="16" t="s">
        <v>1238</v>
      </c>
      <c r="C104" s="16"/>
      <c r="D104" s="16"/>
      <c r="E104" s="16" t="s">
        <v>1239</v>
      </c>
      <c r="F104" s="16" t="s">
        <v>1240</v>
      </c>
      <c r="G104" s="16" t="s">
        <v>1241</v>
      </c>
      <c r="H104" s="16" t="s">
        <v>1242</v>
      </c>
      <c r="I104" s="15" t="s">
        <v>1243</v>
      </c>
      <c r="J104" s="16" t="s">
        <v>1244</v>
      </c>
      <c r="K104" s="16" t="s">
        <v>1245</v>
      </c>
      <c r="L104" s="16"/>
      <c r="M104" s="15" t="s">
        <v>1246</v>
      </c>
      <c r="N104" s="15"/>
      <c r="O104" s="15"/>
      <c r="P104" s="15"/>
      <c r="Q104" s="16"/>
      <c r="R104" s="16" t="s">
        <v>1247</v>
      </c>
      <c r="S104" s="16" t="s">
        <v>454</v>
      </c>
      <c r="T104" s="16" t="s">
        <v>1248</v>
      </c>
      <c r="U104" s="16" t="s">
        <v>1249</v>
      </c>
      <c r="V104" s="15" t="s">
        <v>1250</v>
      </c>
      <c r="W104" s="16"/>
      <c r="X104" s="16" t="s">
        <v>1251</v>
      </c>
      <c r="Y104" s="16" t="s">
        <v>1252</v>
      </c>
      <c r="Z104" s="16" t="s">
        <v>1253</v>
      </c>
      <c r="AA104" s="16"/>
      <c r="AB104" s="16"/>
      <c r="AC104" s="16" t="s">
        <v>1254</v>
      </c>
      <c r="AD104" s="16" t="s">
        <v>1254</v>
      </c>
      <c r="AE104" s="16" t="s">
        <v>1255</v>
      </c>
      <c r="AF104" s="16"/>
      <c r="AG104" s="16" t="s">
        <v>1256</v>
      </c>
      <c r="AH104" s="16" t="s">
        <v>1257</v>
      </c>
      <c r="AI104" s="16" t="s">
        <v>1258</v>
      </c>
      <c r="AJ104" s="16" t="s">
        <v>1259</v>
      </c>
      <c r="AK104" s="16" t="s">
        <v>1260</v>
      </c>
      <c r="AL104" s="22" t="s">
        <v>1261</v>
      </c>
      <c r="AM104" s="16" t="s">
        <v>1260</v>
      </c>
      <c r="AN104" s="16" t="s">
        <v>1262</v>
      </c>
      <c r="AO104" s="16" t="s">
        <v>1263</v>
      </c>
      <c r="AP104" s="16"/>
      <c r="AQ104" s="16"/>
      <c r="AR104" s="16" t="s">
        <v>1264</v>
      </c>
      <c r="AS104" s="16" t="s">
        <v>1265</v>
      </c>
      <c r="AT104" s="16"/>
      <c r="AU104" s="15" t="s">
        <v>1266</v>
      </c>
      <c r="AV104" s="16" t="s">
        <v>1267</v>
      </c>
      <c r="AW104" s="16" t="s">
        <v>1268</v>
      </c>
      <c r="AX104" s="16" t="s">
        <v>1269</v>
      </c>
      <c r="AY104" s="16" t="s">
        <v>1270</v>
      </c>
      <c r="AZ104" s="16" t="s">
        <v>1271</v>
      </c>
      <c r="BA104" s="16" t="s">
        <v>1272</v>
      </c>
      <c r="BB104" s="16"/>
      <c r="BC104" s="16" t="s">
        <v>1273</v>
      </c>
      <c r="BD104" s="16" t="s">
        <v>1274</v>
      </c>
      <c r="BE104" s="16"/>
      <c r="BF104" s="16"/>
    </row>
    <row r="105" spans="1:61" x14ac:dyDescent="0.25">
      <c r="A105" s="80" t="s">
        <v>85</v>
      </c>
      <c r="B105" s="24" t="s">
        <v>321</v>
      </c>
      <c r="C105" s="24" t="s">
        <v>322</v>
      </c>
      <c r="D105" s="24" t="s">
        <v>323</v>
      </c>
      <c r="E105" s="24" t="s">
        <v>324</v>
      </c>
      <c r="F105" s="24" t="s">
        <v>325</v>
      </c>
      <c r="G105" s="24" t="s">
        <v>326</v>
      </c>
      <c r="H105" s="25" t="s">
        <v>327</v>
      </c>
      <c r="I105" s="25" t="s">
        <v>328</v>
      </c>
      <c r="J105" s="24" t="s">
        <v>329</v>
      </c>
      <c r="K105" s="24" t="s">
        <v>330</v>
      </c>
      <c r="L105" s="24" t="s">
        <v>331</v>
      </c>
      <c r="M105" s="25" t="s">
        <v>332</v>
      </c>
      <c r="N105" s="25" t="s">
        <v>333</v>
      </c>
      <c r="O105" s="25" t="s">
        <v>334</v>
      </c>
      <c r="P105" s="25" t="s">
        <v>91</v>
      </c>
      <c r="Q105" s="24" t="s">
        <v>335</v>
      </c>
      <c r="R105" s="24" t="s">
        <v>336</v>
      </c>
      <c r="S105" s="24">
        <v>1851</v>
      </c>
      <c r="T105" s="24">
        <v>1852</v>
      </c>
      <c r="U105" s="24">
        <v>1853</v>
      </c>
      <c r="V105" s="25">
        <v>1854</v>
      </c>
      <c r="W105" s="24">
        <v>55</v>
      </c>
      <c r="X105" s="24">
        <v>1856</v>
      </c>
      <c r="Y105" s="24">
        <v>1857</v>
      </c>
      <c r="Z105" s="24">
        <v>1858</v>
      </c>
      <c r="AA105" s="24">
        <v>59</v>
      </c>
      <c r="AB105" s="24">
        <v>60</v>
      </c>
      <c r="AC105" s="24">
        <v>1861</v>
      </c>
      <c r="AD105" s="24">
        <v>1862</v>
      </c>
      <c r="AE105" s="24" t="s">
        <v>337</v>
      </c>
      <c r="AF105" s="24" t="s">
        <v>338</v>
      </c>
      <c r="AG105" s="24" t="s">
        <v>204</v>
      </c>
      <c r="AH105" s="24" t="s">
        <v>205</v>
      </c>
      <c r="AI105" s="24" t="s">
        <v>206</v>
      </c>
      <c r="AJ105" s="24" t="s">
        <v>207</v>
      </c>
      <c r="AK105" s="24" t="s">
        <v>208</v>
      </c>
      <c r="AL105" s="24" t="s">
        <v>209</v>
      </c>
      <c r="AM105" s="24" t="s">
        <v>210</v>
      </c>
      <c r="AN105" s="24" t="s">
        <v>211</v>
      </c>
      <c r="AO105" s="24" t="s">
        <v>212</v>
      </c>
      <c r="AP105" s="24" t="s">
        <v>339</v>
      </c>
      <c r="AQ105" s="24" t="s">
        <v>340</v>
      </c>
      <c r="AR105" s="24" t="s">
        <v>214</v>
      </c>
      <c r="AS105" s="24" t="s">
        <v>294</v>
      </c>
      <c r="AT105" s="24" t="s">
        <v>341</v>
      </c>
      <c r="AU105" s="25" t="s">
        <v>23</v>
      </c>
      <c r="AV105" s="24" t="s">
        <v>24</v>
      </c>
      <c r="AW105" s="24" t="s">
        <v>25</v>
      </c>
      <c r="AX105" s="24" t="s">
        <v>26</v>
      </c>
      <c r="AY105" s="24" t="s">
        <v>27</v>
      </c>
      <c r="AZ105" s="24" t="s">
        <v>28</v>
      </c>
      <c r="BA105" s="24" t="s">
        <v>29</v>
      </c>
      <c r="BB105" s="24" t="s">
        <v>342</v>
      </c>
      <c r="BC105" s="24" t="s">
        <v>31</v>
      </c>
      <c r="BD105" s="24" t="s">
        <v>32</v>
      </c>
      <c r="BE105" s="24" t="s">
        <v>343</v>
      </c>
      <c r="BF105" s="24" t="s">
        <v>344</v>
      </c>
    </row>
    <row r="106" spans="1:61" x14ac:dyDescent="0.25">
      <c r="A106" s="81" t="s">
        <v>86</v>
      </c>
      <c r="B106" s="16" t="s">
        <v>345</v>
      </c>
      <c r="C106" s="16"/>
      <c r="D106" s="16"/>
      <c r="E106" s="16" t="s">
        <v>346</v>
      </c>
      <c r="F106" s="16" t="s">
        <v>347</v>
      </c>
      <c r="G106" s="16" t="s">
        <v>348</v>
      </c>
      <c r="H106" s="16" t="s">
        <v>349</v>
      </c>
      <c r="I106" s="15" t="s">
        <v>350</v>
      </c>
      <c r="J106" s="16" t="s">
        <v>351</v>
      </c>
      <c r="K106" s="16" t="s">
        <v>352</v>
      </c>
      <c r="L106" s="16"/>
      <c r="M106" s="15" t="s">
        <v>353</v>
      </c>
      <c r="N106" s="15"/>
      <c r="O106" s="15"/>
      <c r="P106" s="15"/>
      <c r="Q106" s="16"/>
      <c r="R106" s="16" t="s">
        <v>354</v>
      </c>
      <c r="S106" s="16" t="s">
        <v>355</v>
      </c>
      <c r="T106" s="16" t="s">
        <v>356</v>
      </c>
      <c r="U106" s="16" t="s">
        <v>357</v>
      </c>
      <c r="V106" s="15" t="s">
        <v>358</v>
      </c>
      <c r="W106" s="16"/>
      <c r="X106" s="16" t="s">
        <v>359</v>
      </c>
      <c r="Y106" s="16" t="s">
        <v>360</v>
      </c>
      <c r="Z106" s="16" t="s">
        <v>361</v>
      </c>
      <c r="AA106" s="16"/>
      <c r="AB106" s="16"/>
      <c r="AC106" s="16" t="s">
        <v>362</v>
      </c>
      <c r="AD106" s="16" t="s">
        <v>362</v>
      </c>
      <c r="AE106" s="16" t="s">
        <v>363</v>
      </c>
      <c r="AF106" s="16"/>
      <c r="AG106" s="16" t="s">
        <v>364</v>
      </c>
      <c r="AH106" s="16" t="s">
        <v>365</v>
      </c>
      <c r="AI106" s="16" t="s">
        <v>366</v>
      </c>
      <c r="AJ106" s="16" t="s">
        <v>367</v>
      </c>
      <c r="AK106" s="16" t="s">
        <v>368</v>
      </c>
      <c r="AL106" s="22" t="s">
        <v>369</v>
      </c>
      <c r="AM106" s="16" t="s">
        <v>368</v>
      </c>
      <c r="AN106" s="16" t="s">
        <v>370</v>
      </c>
      <c r="AO106" s="16" t="s">
        <v>371</v>
      </c>
      <c r="AP106" s="16"/>
      <c r="AQ106" s="16"/>
      <c r="AR106" s="16" t="s">
        <v>372</v>
      </c>
      <c r="AS106" s="16" t="s">
        <v>373</v>
      </c>
      <c r="AT106" s="15"/>
      <c r="AU106" s="15" t="s">
        <v>374</v>
      </c>
      <c r="AV106" s="16" t="s">
        <v>375</v>
      </c>
      <c r="AW106" s="16" t="s">
        <v>376</v>
      </c>
      <c r="AX106" s="16" t="s">
        <v>377</v>
      </c>
      <c r="AY106" s="16" t="s">
        <v>378</v>
      </c>
      <c r="AZ106" s="16" t="s">
        <v>379</v>
      </c>
      <c r="BA106" s="16" t="s">
        <v>380</v>
      </c>
      <c r="BB106" s="16"/>
      <c r="BC106" s="16" t="s">
        <v>381</v>
      </c>
      <c r="BD106" s="16" t="s">
        <v>382</v>
      </c>
      <c r="BE106" s="16"/>
      <c r="BF106" s="16"/>
    </row>
    <row r="107" spans="1:61" x14ac:dyDescent="0.25">
      <c r="A107" s="79" t="s">
        <v>84</v>
      </c>
      <c r="B107" s="16" t="s">
        <v>70</v>
      </c>
      <c r="C107" s="16"/>
      <c r="D107" s="16"/>
      <c r="E107" s="16" t="s">
        <v>70</v>
      </c>
      <c r="F107" s="16" t="s">
        <v>70</v>
      </c>
      <c r="G107" s="16" t="s">
        <v>70</v>
      </c>
      <c r="H107" s="16" t="s">
        <v>70</v>
      </c>
      <c r="I107" s="15" t="s">
        <v>70</v>
      </c>
      <c r="J107" s="16" t="s">
        <v>452</v>
      </c>
      <c r="K107" s="16" t="s">
        <v>70</v>
      </c>
      <c r="L107" s="16"/>
      <c r="M107" s="15" t="s">
        <v>70</v>
      </c>
      <c r="N107" s="15"/>
      <c r="O107" s="15"/>
      <c r="P107" s="15"/>
      <c r="Q107" s="16"/>
      <c r="R107" s="16" t="s">
        <v>70</v>
      </c>
      <c r="S107" s="16" t="s">
        <v>383</v>
      </c>
      <c r="T107" s="16" t="s">
        <v>70</v>
      </c>
      <c r="U107" s="16" t="s">
        <v>70</v>
      </c>
      <c r="V107" s="15" t="s">
        <v>70</v>
      </c>
      <c r="W107" s="16"/>
      <c r="X107" s="16" t="s">
        <v>70</v>
      </c>
      <c r="Y107" s="16" t="s">
        <v>70</v>
      </c>
      <c r="Z107" s="16" t="s">
        <v>70</v>
      </c>
      <c r="AA107" s="16"/>
      <c r="AB107" s="16"/>
      <c r="AC107" s="16" t="s">
        <v>70</v>
      </c>
      <c r="AD107" s="39" t="s">
        <v>71</v>
      </c>
      <c r="AE107" s="16" t="s">
        <v>70</v>
      </c>
      <c r="AF107" s="16"/>
      <c r="AG107" s="16" t="s">
        <v>70</v>
      </c>
      <c r="AH107" s="16" t="s">
        <v>70</v>
      </c>
      <c r="AI107" s="16" t="s">
        <v>70</v>
      </c>
      <c r="AJ107" s="16" t="s">
        <v>70</v>
      </c>
      <c r="AK107" s="16" t="s">
        <v>70</v>
      </c>
      <c r="AL107" s="22" t="s">
        <v>70</v>
      </c>
      <c r="AM107" s="39" t="s">
        <v>71</v>
      </c>
      <c r="AN107" s="39" t="s">
        <v>71</v>
      </c>
      <c r="AO107" s="39" t="s">
        <v>71</v>
      </c>
      <c r="AP107" s="16"/>
      <c r="AQ107" s="16"/>
      <c r="AR107" s="39" t="s">
        <v>71</v>
      </c>
      <c r="AS107" s="106" t="s">
        <v>384</v>
      </c>
      <c r="AT107" s="16"/>
      <c r="AU107" s="39" t="s">
        <v>71</v>
      </c>
      <c r="AV107" s="16" t="s">
        <v>70</v>
      </c>
      <c r="AW107" s="39" t="s">
        <v>71</v>
      </c>
      <c r="AX107" s="39" t="s">
        <v>71</v>
      </c>
      <c r="AY107" s="39" t="s">
        <v>71</v>
      </c>
      <c r="AZ107" s="39" t="s">
        <v>71</v>
      </c>
      <c r="BA107" s="39" t="s">
        <v>71</v>
      </c>
      <c r="BB107" s="16" t="s">
        <v>5</v>
      </c>
      <c r="BC107" s="39" t="s">
        <v>71</v>
      </c>
      <c r="BD107" s="39" t="s">
        <v>71</v>
      </c>
      <c r="BE107" s="16" t="s">
        <v>5</v>
      </c>
      <c r="BF107" s="16" t="s">
        <v>5</v>
      </c>
    </row>
    <row r="108" spans="1:61" x14ac:dyDescent="0.25">
      <c r="A108" s="81"/>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7"/>
      <c r="BA108" s="17"/>
      <c r="BB108" s="17"/>
      <c r="BC108" s="17"/>
      <c r="BD108" s="17"/>
      <c r="BE108" s="17"/>
      <c r="BF108" s="17"/>
    </row>
    <row r="109" spans="1:61" x14ac:dyDescent="0.25">
      <c r="A109" s="81" t="s">
        <v>937</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7"/>
      <c r="BA109" s="17"/>
      <c r="BB109" s="17"/>
      <c r="BC109" s="17"/>
      <c r="BD109" s="17"/>
      <c r="BE109" s="17"/>
      <c r="BF109" s="17"/>
    </row>
    <row r="110" spans="1:61" x14ac:dyDescent="0.25">
      <c r="A110" s="88" t="s">
        <v>455</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v>400000</v>
      </c>
      <c r="AN110" s="17"/>
      <c r="AO110" s="17">
        <v>500000</v>
      </c>
      <c r="AP110" s="17"/>
      <c r="AQ110" s="17"/>
      <c r="AR110" s="17">
        <v>500000</v>
      </c>
      <c r="AS110" s="17">
        <v>900000</v>
      </c>
      <c r="AT110" s="17"/>
      <c r="AU110" s="17">
        <v>1000000</v>
      </c>
      <c r="AV110" s="17">
        <v>900000</v>
      </c>
      <c r="AW110" s="17">
        <v>900000</v>
      </c>
      <c r="AX110" s="17">
        <v>900000</v>
      </c>
      <c r="AY110" s="17">
        <v>900000</v>
      </c>
      <c r="AZ110" s="17">
        <v>900000</v>
      </c>
      <c r="BA110" s="17">
        <v>900000</v>
      </c>
      <c r="BB110" s="17"/>
      <c r="BC110" s="17">
        <v>1000000</v>
      </c>
      <c r="BD110" s="17">
        <v>1000000</v>
      </c>
      <c r="BE110" s="17"/>
      <c r="BF110" s="17"/>
    </row>
    <row r="111" spans="1:61" x14ac:dyDescent="0.25">
      <c r="A111" s="88" t="s">
        <v>386</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v>287450</v>
      </c>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row>
    <row r="112" spans="1:61" x14ac:dyDescent="0.25">
      <c r="A112" s="88" t="s">
        <v>385</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v>400000</v>
      </c>
      <c r="AD112" s="17">
        <v>400000</v>
      </c>
      <c r="AE112" s="17">
        <v>400000</v>
      </c>
      <c r="AF112" s="17"/>
      <c r="AG112" s="17">
        <v>600000</v>
      </c>
      <c r="AH112" s="17">
        <v>600000</v>
      </c>
      <c r="AI112" s="17">
        <v>600000</v>
      </c>
      <c r="AJ112" s="17">
        <v>800000</v>
      </c>
      <c r="AK112" s="17">
        <v>800000</v>
      </c>
      <c r="AL112" s="17">
        <v>800000</v>
      </c>
      <c r="AM112" s="17">
        <v>800000</v>
      </c>
      <c r="AN112" s="17">
        <v>800000</v>
      </c>
      <c r="AO112" s="17">
        <v>800000</v>
      </c>
      <c r="AP112" s="17"/>
      <c r="AQ112" s="17"/>
      <c r="AR112" s="17">
        <v>800000</v>
      </c>
      <c r="AS112" s="17">
        <v>1000000</v>
      </c>
      <c r="AT112" s="17"/>
      <c r="AU112" s="17">
        <v>1000000</v>
      </c>
      <c r="AV112" s="17">
        <v>1200000</v>
      </c>
      <c r="AW112" s="17">
        <v>1200000</v>
      </c>
      <c r="AX112" s="17">
        <v>1200000</v>
      </c>
      <c r="AY112" s="17">
        <f>1200000</f>
        <v>1200000</v>
      </c>
      <c r="AZ112" s="17">
        <v>1400000</v>
      </c>
      <c r="BA112" s="17">
        <v>1400000</v>
      </c>
      <c r="BB112" s="17"/>
      <c r="BC112" s="17">
        <v>1400000</v>
      </c>
      <c r="BD112" s="17">
        <v>700000</v>
      </c>
      <c r="BE112" s="17"/>
      <c r="BF112" s="17"/>
    </row>
    <row r="113" spans="1:58" x14ac:dyDescent="0.25">
      <c r="A113" s="88" t="s">
        <v>457</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v>2000000</v>
      </c>
      <c r="BD113" s="17">
        <v>3000000</v>
      </c>
      <c r="BE113" s="17"/>
      <c r="BF113" s="17"/>
    </row>
    <row r="114" spans="1:58" x14ac:dyDescent="0.25">
      <c r="A114" s="88" t="s">
        <v>458</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v>1500000</v>
      </c>
      <c r="BD114" s="17">
        <v>1500000</v>
      </c>
      <c r="BE114" s="17"/>
      <c r="BF114" s="17"/>
    </row>
    <row r="115" spans="1:58" x14ac:dyDescent="0.25">
      <c r="A115" s="88" t="s">
        <v>456</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v>400000</v>
      </c>
      <c r="AT115" s="17"/>
      <c r="AU115" s="17">
        <v>400000</v>
      </c>
      <c r="AV115" s="17">
        <v>400000</v>
      </c>
      <c r="AW115" s="17">
        <v>400000</v>
      </c>
      <c r="AX115" s="17">
        <v>400000</v>
      </c>
      <c r="AY115" s="17">
        <v>400000</v>
      </c>
      <c r="AZ115" s="17">
        <v>400000</v>
      </c>
      <c r="BA115" s="17">
        <v>400000</v>
      </c>
      <c r="BB115" s="17"/>
      <c r="BC115" s="17">
        <v>10200000</v>
      </c>
      <c r="BD115" s="17">
        <v>10200000</v>
      </c>
      <c r="BE115" s="17"/>
      <c r="BF115" s="17"/>
    </row>
    <row r="116" spans="1:58" x14ac:dyDescent="0.25">
      <c r="A116" s="88" t="s">
        <v>633</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v>600000</v>
      </c>
      <c r="AS116" s="17">
        <v>600000</v>
      </c>
      <c r="AT116" s="17"/>
      <c r="AU116" s="17">
        <v>600000</v>
      </c>
      <c r="AV116" s="17">
        <v>600000</v>
      </c>
      <c r="AW116" s="17">
        <v>600000</v>
      </c>
      <c r="AX116" s="17">
        <v>600000</v>
      </c>
      <c r="AY116" s="17">
        <v>600000</v>
      </c>
      <c r="AZ116" s="17">
        <v>600000</v>
      </c>
      <c r="BA116" s="17">
        <v>600000</v>
      </c>
      <c r="BB116" s="17"/>
      <c r="BC116" s="17"/>
      <c r="BD116" s="17"/>
      <c r="BE116" s="17"/>
      <c r="BF116" s="17"/>
    </row>
    <row r="117" spans="1:58" x14ac:dyDescent="0.25">
      <c r="A117" s="88"/>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row>
    <row r="118" spans="1:58" x14ac:dyDescent="0.25">
      <c r="A118" s="88" t="s">
        <v>387</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v>200000</v>
      </c>
      <c r="AH118" s="17">
        <v>200000</v>
      </c>
      <c r="AI118" s="17">
        <v>200000</v>
      </c>
      <c r="AJ118" s="17">
        <v>200000</v>
      </c>
      <c r="AK118" s="17">
        <v>200000</v>
      </c>
      <c r="AL118" s="17">
        <v>200000</v>
      </c>
      <c r="AM118" s="17">
        <v>300000</v>
      </c>
      <c r="AN118" s="17">
        <v>300000</v>
      </c>
      <c r="AO118" s="17">
        <v>400000</v>
      </c>
      <c r="AP118" s="17"/>
      <c r="AQ118" s="17"/>
      <c r="AR118" s="17">
        <v>400000</v>
      </c>
      <c r="AS118" s="17">
        <v>400000</v>
      </c>
      <c r="AT118" s="17"/>
      <c r="AU118" s="17">
        <v>400000</v>
      </c>
      <c r="AV118" s="17">
        <v>400000</v>
      </c>
      <c r="AW118" s="17">
        <v>400000</v>
      </c>
      <c r="AX118" s="17">
        <v>400000</v>
      </c>
      <c r="AY118" s="17">
        <v>400000</v>
      </c>
      <c r="AZ118" s="17">
        <v>400000</v>
      </c>
      <c r="BA118" s="17">
        <v>400000</v>
      </c>
      <c r="BB118" s="17"/>
      <c r="BC118" s="17">
        <v>400000</v>
      </c>
      <c r="BD118" s="17">
        <v>400000</v>
      </c>
      <c r="BE118" s="17"/>
      <c r="BF118" s="17"/>
    </row>
    <row r="119" spans="1:58" x14ac:dyDescent="0.25">
      <c r="A119" s="105" t="s">
        <v>459</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v>350000</v>
      </c>
      <c r="AS119" s="17">
        <v>350000</v>
      </c>
      <c r="AT119" s="17"/>
      <c r="AU119" s="17">
        <v>500000</v>
      </c>
      <c r="AV119" s="17"/>
      <c r="AW119" s="17">
        <v>500000</v>
      </c>
      <c r="AX119" s="17">
        <v>500000</v>
      </c>
      <c r="AY119" s="17">
        <v>500000</v>
      </c>
      <c r="AZ119" s="17">
        <v>500000</v>
      </c>
      <c r="BA119" s="17">
        <v>500000</v>
      </c>
      <c r="BB119" s="17"/>
      <c r="BC119" s="17">
        <v>500000</v>
      </c>
      <c r="BD119" s="17">
        <v>500000</v>
      </c>
      <c r="BE119" s="17"/>
      <c r="BF119" s="17"/>
    </row>
    <row r="120" spans="1:58" x14ac:dyDescent="0.25">
      <c r="A120" s="88" t="s">
        <v>460</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v>1000000</v>
      </c>
      <c r="AV120" s="17">
        <v>1500000</v>
      </c>
      <c r="AW120" s="17">
        <v>1500000</v>
      </c>
      <c r="AX120" s="17"/>
      <c r="AY120" s="17"/>
      <c r="AZ120" s="17"/>
      <c r="BA120" s="17"/>
      <c r="BB120" s="17"/>
      <c r="BC120" s="17"/>
      <c r="BD120" s="17"/>
      <c r="BE120" s="17"/>
      <c r="BF120" s="17"/>
    </row>
    <row r="121" spans="1:58" x14ac:dyDescent="0.25">
      <c r="A121" s="88" t="s">
        <v>390</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v>500000</v>
      </c>
      <c r="AF121" s="17"/>
      <c r="AG121" s="17">
        <v>19855</v>
      </c>
      <c r="AH121" s="17"/>
      <c r="AI121" s="17">
        <v>350000</v>
      </c>
      <c r="AJ121" s="17"/>
      <c r="AK121" s="17">
        <v>285000</v>
      </c>
      <c r="AL121" s="17"/>
      <c r="AM121" s="17"/>
      <c r="AN121" s="17"/>
      <c r="AO121" s="17"/>
      <c r="AP121" s="17"/>
      <c r="AQ121" s="17"/>
      <c r="AR121" s="17"/>
      <c r="AS121" s="17"/>
      <c r="AT121" s="17"/>
      <c r="AU121" s="17"/>
      <c r="AV121" s="17"/>
      <c r="AW121" s="17"/>
      <c r="AX121" s="17"/>
      <c r="AY121" s="17"/>
      <c r="AZ121" s="17"/>
      <c r="BA121" s="17"/>
      <c r="BB121" s="17"/>
      <c r="BC121" s="17"/>
      <c r="BD121" s="17"/>
      <c r="BE121" s="17"/>
      <c r="BF121" s="17"/>
    </row>
    <row r="122" spans="1:58" ht="30" x14ac:dyDescent="0.25">
      <c r="A122" s="156" t="s">
        <v>1087</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v>900000</v>
      </c>
      <c r="BE122" s="17"/>
      <c r="BF122" s="17"/>
    </row>
    <row r="123" spans="1:58" x14ac:dyDescent="0.25">
      <c r="A123" s="88" t="s">
        <v>389</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v>200000</v>
      </c>
      <c r="BD123" s="17">
        <v>200000</v>
      </c>
      <c r="BE123" s="17"/>
      <c r="BF123" s="17"/>
    </row>
    <row r="124" spans="1:58" x14ac:dyDescent="0.25">
      <c r="A124" s="88" t="s">
        <v>461</v>
      </c>
      <c r="B124" s="17">
        <v>16000</v>
      </c>
      <c r="C124" s="17"/>
      <c r="D124" s="17"/>
      <c r="E124" s="17">
        <v>31978</v>
      </c>
      <c r="F124" s="17">
        <v>32000</v>
      </c>
      <c r="G124" s="17">
        <v>50000</v>
      </c>
      <c r="H124" s="17">
        <v>50000</v>
      </c>
      <c r="I124" s="17">
        <v>50000</v>
      </c>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row>
    <row r="125" spans="1:58" x14ac:dyDescent="0.25">
      <c r="A125" s="88" t="s">
        <v>388</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v>400000</v>
      </c>
      <c r="BD125" s="17">
        <v>400000</v>
      </c>
      <c r="BE125" s="17"/>
      <c r="BF125" s="17"/>
    </row>
    <row r="126" spans="1:58" x14ac:dyDescent="0.25">
      <c r="A126" s="156" t="s">
        <v>1088</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v>120000</v>
      </c>
      <c r="AN126" s="17">
        <v>120000</v>
      </c>
      <c r="AO126" s="17">
        <v>120000</v>
      </c>
      <c r="AP126" s="17"/>
      <c r="AQ126" s="17"/>
      <c r="AR126" s="17">
        <v>120000</v>
      </c>
      <c r="AS126" s="17">
        <v>120000</v>
      </c>
      <c r="AT126" s="17"/>
      <c r="AU126" s="17">
        <v>120000</v>
      </c>
      <c r="AV126" s="17">
        <v>120000</v>
      </c>
      <c r="AW126" s="17">
        <v>120000</v>
      </c>
      <c r="AX126" s="17">
        <v>120000</v>
      </c>
      <c r="AY126" s="17">
        <v>120000</v>
      </c>
      <c r="AZ126" s="17">
        <v>120000</v>
      </c>
      <c r="BA126" s="17">
        <v>120000</v>
      </c>
      <c r="BB126" s="17"/>
      <c r="BC126" s="17">
        <v>150000</v>
      </c>
      <c r="BD126" s="17">
        <v>150000</v>
      </c>
      <c r="BE126" s="17"/>
      <c r="BF126" s="17"/>
    </row>
    <row r="127" spans="1:58" x14ac:dyDescent="0.25">
      <c r="A127" s="88"/>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row>
    <row r="128" spans="1:58" x14ac:dyDescent="0.25">
      <c r="A128" s="156" t="s">
        <v>881</v>
      </c>
      <c r="B128" s="17"/>
      <c r="C128" s="17"/>
      <c r="D128" s="17"/>
      <c r="E128" s="17"/>
      <c r="F128" s="17"/>
      <c r="G128" s="17">
        <v>11500</v>
      </c>
      <c r="H128" s="17">
        <v>5618</v>
      </c>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row>
    <row r="129" spans="1:61" x14ac:dyDescent="0.25">
      <c r="A129" s="88" t="s">
        <v>465</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v>1500000</v>
      </c>
      <c r="AP129" s="17"/>
      <c r="AQ129" s="17"/>
      <c r="AR129" s="17"/>
      <c r="AS129" s="17"/>
      <c r="AT129" s="17"/>
      <c r="AU129" s="17"/>
      <c r="AV129" s="17"/>
      <c r="AW129" s="17"/>
      <c r="AX129" s="17"/>
      <c r="AY129" s="17"/>
      <c r="AZ129" s="17"/>
      <c r="BA129" s="17"/>
      <c r="BB129" s="17"/>
      <c r="BC129" s="17"/>
      <c r="BD129" s="17"/>
      <c r="BE129" s="17"/>
      <c r="BF129" s="17"/>
    </row>
    <row r="130" spans="1:61" x14ac:dyDescent="0.25">
      <c r="A130" s="88" t="s">
        <v>880</v>
      </c>
      <c r="B130" s="17">
        <v>100000</v>
      </c>
      <c r="C130" s="17"/>
      <c r="D130" s="17"/>
      <c r="E130" s="17">
        <v>100000</v>
      </c>
      <c r="F130" s="17">
        <v>100000</v>
      </c>
      <c r="G130" s="17">
        <v>130000</v>
      </c>
      <c r="H130" s="17">
        <v>130000</v>
      </c>
      <c r="I130" s="17">
        <v>130000</v>
      </c>
      <c r="J130" s="17"/>
      <c r="K130" s="17">
        <v>142500</v>
      </c>
      <c r="L130" s="17"/>
      <c r="M130" s="17">
        <v>130000</v>
      </c>
      <c r="N130" s="17"/>
      <c r="O130" s="17"/>
      <c r="P130" s="17"/>
      <c r="Q130" s="17"/>
      <c r="R130" s="17">
        <v>250000</v>
      </c>
      <c r="S130" s="17">
        <f>(R130/15)*12</f>
        <v>200000</v>
      </c>
      <c r="T130" s="17">
        <v>200000</v>
      </c>
      <c r="U130" s="17">
        <v>200000</v>
      </c>
      <c r="V130" s="17">
        <v>200000</v>
      </c>
      <c r="W130" s="17"/>
      <c r="X130" s="17">
        <v>200000</v>
      </c>
      <c r="Y130" s="17">
        <v>280000</v>
      </c>
      <c r="Z130" s="17">
        <v>380000</v>
      </c>
      <c r="AA130" s="17"/>
      <c r="AB130" s="17"/>
      <c r="AC130" s="17">
        <v>500000</v>
      </c>
      <c r="AD130" s="17">
        <v>500000</v>
      </c>
      <c r="AE130" s="17">
        <v>500000</v>
      </c>
      <c r="AF130" s="17"/>
      <c r="AG130" s="17">
        <v>650000</v>
      </c>
      <c r="AH130" s="17">
        <v>650000</v>
      </c>
      <c r="AI130" s="17">
        <v>650000</v>
      </c>
      <c r="AJ130" s="17">
        <v>650000</v>
      </c>
      <c r="AK130" s="17">
        <v>750000</v>
      </c>
      <c r="AL130" s="17">
        <f>576388+236112</f>
        <v>812500</v>
      </c>
      <c r="AM130" s="17">
        <v>1000000</v>
      </c>
      <c r="AN130" s="17">
        <v>1000000</v>
      </c>
      <c r="AO130" s="17"/>
      <c r="AP130" s="17"/>
      <c r="AQ130" s="17"/>
      <c r="AR130" s="17">
        <v>800000</v>
      </c>
      <c r="AS130" s="17">
        <v>1200000</v>
      </c>
      <c r="AT130" s="17"/>
      <c r="AU130" s="17">
        <v>1500000</v>
      </c>
      <c r="AV130" s="17">
        <v>2000000</v>
      </c>
      <c r="AW130" s="17">
        <v>2000000</v>
      </c>
      <c r="AX130" s="17">
        <v>2000000</v>
      </c>
      <c r="AY130" s="17">
        <v>2000000</v>
      </c>
      <c r="AZ130" s="17"/>
      <c r="BA130" s="17"/>
      <c r="BB130" s="17"/>
      <c r="BC130" s="17"/>
      <c r="BD130" s="17"/>
      <c r="BE130" s="17"/>
      <c r="BF130" s="17"/>
    </row>
    <row r="131" spans="1:61" x14ac:dyDescent="0.25">
      <c r="A131" s="88" t="s">
        <v>463</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c r="AV131" s="17"/>
      <c r="AW131" s="17"/>
      <c r="AX131" s="17"/>
      <c r="AY131" s="17"/>
      <c r="AZ131" s="17">
        <v>2500000</v>
      </c>
      <c r="BA131" s="17">
        <v>2200000</v>
      </c>
      <c r="BB131" s="17"/>
      <c r="BC131" s="17">
        <v>2200000</v>
      </c>
      <c r="BD131" s="17">
        <v>2200000</v>
      </c>
      <c r="BE131" s="17"/>
      <c r="BF131" s="17"/>
    </row>
    <row r="132" spans="1:61" x14ac:dyDescent="0.25">
      <c r="A132" s="88" t="s">
        <v>464</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v>700000</v>
      </c>
      <c r="AS132" s="17"/>
      <c r="AT132" s="17"/>
      <c r="AU132" s="17"/>
      <c r="AV132" s="17"/>
      <c r="AW132" s="17"/>
      <c r="AX132" s="17"/>
      <c r="AY132" s="17"/>
      <c r="AZ132" s="17">
        <v>2000000</v>
      </c>
      <c r="BA132" s="17">
        <v>2000000</v>
      </c>
      <c r="BB132" s="17"/>
      <c r="BC132" s="17">
        <v>2000000</v>
      </c>
      <c r="BD132" s="17">
        <v>2000000</v>
      </c>
      <c r="BE132" s="17"/>
      <c r="BF132" s="17"/>
    </row>
    <row r="133" spans="1:61" x14ac:dyDescent="0.25">
      <c r="A133" s="88" t="s">
        <v>462</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v>700000</v>
      </c>
      <c r="AO133" s="17"/>
      <c r="AP133" s="17"/>
      <c r="AQ133" s="17"/>
      <c r="AR133" s="17"/>
      <c r="AS133" s="17"/>
      <c r="AT133" s="17"/>
      <c r="AU133" s="17">
        <v>1000000</v>
      </c>
      <c r="AV133" s="17">
        <v>1200000</v>
      </c>
      <c r="AW133" s="17">
        <v>1200000</v>
      </c>
      <c r="AX133" s="17">
        <v>1200000</v>
      </c>
      <c r="AY133" s="17">
        <v>1200000</v>
      </c>
      <c r="AZ133" s="17">
        <v>1600000</v>
      </c>
      <c r="BA133" s="17">
        <v>1600000</v>
      </c>
      <c r="BB133" s="17"/>
      <c r="BC133" s="17">
        <v>1600000</v>
      </c>
      <c r="BD133" s="17">
        <v>1600000</v>
      </c>
      <c r="BE133" s="17"/>
      <c r="BF133" s="17"/>
    </row>
    <row r="134" spans="1:61" x14ac:dyDescent="0.25">
      <c r="A134" s="88" t="s">
        <v>391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c r="AW134" s="17"/>
      <c r="AX134" s="17"/>
      <c r="AY134" s="17">
        <v>2400000</v>
      </c>
      <c r="AZ134" s="17"/>
      <c r="BA134" s="17">
        <v>3600000</v>
      </c>
      <c r="BB134" s="17"/>
      <c r="BC134" s="17"/>
      <c r="BD134" s="17"/>
      <c r="BE134" s="17"/>
      <c r="BF134" s="17"/>
    </row>
    <row r="135" spans="1:61" x14ac:dyDescent="0.25">
      <c r="A135" s="75" t="s">
        <v>466</v>
      </c>
      <c r="B135" s="17">
        <v>50000</v>
      </c>
      <c r="C135" s="17"/>
      <c r="D135" s="17"/>
      <c r="E135" s="17">
        <v>37500</v>
      </c>
      <c r="F135" s="17">
        <v>50000</v>
      </c>
      <c r="G135" s="17">
        <v>50000</v>
      </c>
      <c r="H135" s="17">
        <v>50000</v>
      </c>
      <c r="I135" s="17">
        <v>51100</v>
      </c>
      <c r="J135" s="17"/>
      <c r="K135" s="17">
        <v>60000</v>
      </c>
      <c r="L135" s="17"/>
      <c r="M135" s="17">
        <v>60000</v>
      </c>
      <c r="N135" s="17"/>
      <c r="O135" s="17"/>
      <c r="P135" s="17"/>
      <c r="Q135" s="17"/>
      <c r="R135" s="17">
        <v>100000</v>
      </c>
      <c r="S135" s="17">
        <f>(R135/15)*12</f>
        <v>80000</v>
      </c>
      <c r="T135" s="17">
        <v>80000</v>
      </c>
      <c r="U135" s="17">
        <v>80000</v>
      </c>
      <c r="V135" s="17">
        <v>80000</v>
      </c>
      <c r="W135" s="17"/>
      <c r="X135" s="17">
        <v>74220</v>
      </c>
      <c r="Y135" s="17">
        <v>100000</v>
      </c>
      <c r="Z135" s="17">
        <v>100000</v>
      </c>
      <c r="AA135" s="17"/>
      <c r="AB135" s="17"/>
      <c r="AC135" s="17">
        <v>200000</v>
      </c>
      <c r="AD135" s="17">
        <v>200000</v>
      </c>
      <c r="AE135" s="17"/>
      <c r="AF135" s="17"/>
      <c r="AG135" s="17">
        <v>300000</v>
      </c>
      <c r="AH135" s="17">
        <v>300000</v>
      </c>
      <c r="AI135" s="17">
        <v>300000</v>
      </c>
      <c r="AJ135" s="17">
        <v>300000</v>
      </c>
      <c r="AK135" s="17">
        <v>300000</v>
      </c>
      <c r="AL135" s="17">
        <v>300000</v>
      </c>
      <c r="AM135" s="17">
        <v>300000</v>
      </c>
      <c r="AN135" s="17">
        <v>480000</v>
      </c>
      <c r="AO135" s="17">
        <v>480000</v>
      </c>
      <c r="AP135" s="17"/>
      <c r="AQ135" s="17"/>
      <c r="AR135" s="17">
        <v>480000</v>
      </c>
      <c r="AS135" s="17">
        <v>600000</v>
      </c>
      <c r="AT135" s="17"/>
      <c r="AU135" s="17">
        <v>600000</v>
      </c>
      <c r="AV135" s="17">
        <v>720000</v>
      </c>
      <c r="AW135" s="17">
        <v>720000</v>
      </c>
      <c r="AX135" s="17">
        <v>720000</v>
      </c>
      <c r="AY135" s="17">
        <v>720000</v>
      </c>
      <c r="AZ135" s="17">
        <v>720000</v>
      </c>
      <c r="BA135" s="17">
        <v>720000</v>
      </c>
      <c r="BB135" s="17"/>
      <c r="BC135" s="17">
        <v>720000</v>
      </c>
      <c r="BD135" s="17">
        <v>720000</v>
      </c>
      <c r="BE135" s="17"/>
      <c r="BF135" s="17"/>
    </row>
    <row r="136" spans="1:61" x14ac:dyDescent="0.25">
      <c r="A136" s="88" t="s">
        <v>471</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v>250000</v>
      </c>
      <c r="AF136" s="17"/>
      <c r="AG136" s="17"/>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row>
    <row r="137" spans="1:61" x14ac:dyDescent="0.25">
      <c r="A137" s="88" t="s">
        <v>392</v>
      </c>
      <c r="B137" s="17">
        <v>16000</v>
      </c>
      <c r="C137" s="17"/>
      <c r="D137" s="17"/>
      <c r="E137" s="17">
        <v>8070</v>
      </c>
      <c r="F137" s="17">
        <v>16000</v>
      </c>
      <c r="G137" s="17">
        <v>16000</v>
      </c>
      <c r="H137" s="17">
        <v>16000</v>
      </c>
      <c r="I137" s="17">
        <v>16378</v>
      </c>
      <c r="J137" s="17"/>
      <c r="K137" s="17">
        <v>40000</v>
      </c>
      <c r="L137" s="17"/>
      <c r="M137" s="17"/>
      <c r="N137" s="17"/>
      <c r="O137" s="17"/>
      <c r="P137" s="17"/>
      <c r="Q137" s="17"/>
      <c r="R137" s="17">
        <v>37500</v>
      </c>
      <c r="S137" s="17">
        <f>(R137/15)*12</f>
        <v>30000</v>
      </c>
      <c r="T137" s="17">
        <v>30000</v>
      </c>
      <c r="U137" s="17">
        <v>30000</v>
      </c>
      <c r="V137" s="17">
        <v>25580</v>
      </c>
      <c r="W137" s="17"/>
      <c r="X137" s="17">
        <v>24550</v>
      </c>
      <c r="Y137" s="17">
        <v>25000</v>
      </c>
      <c r="Z137" s="17">
        <v>42771</v>
      </c>
      <c r="AA137" s="17"/>
      <c r="AB137" s="17"/>
      <c r="AC137" s="17">
        <v>50000</v>
      </c>
      <c r="AD137" s="17">
        <v>50000</v>
      </c>
      <c r="AE137" s="17"/>
      <c r="AF137" s="17"/>
      <c r="AG137" s="17"/>
      <c r="AH137" s="17"/>
      <c r="AI137" s="17"/>
      <c r="AJ137" s="17"/>
      <c r="AK137" s="17"/>
      <c r="AL137" s="17"/>
      <c r="AM137" s="17"/>
      <c r="AN137" s="17"/>
      <c r="AO137" s="17"/>
      <c r="AP137" s="17"/>
      <c r="AQ137" s="17"/>
      <c r="AR137" s="17">
        <v>360000</v>
      </c>
      <c r="AS137" s="17"/>
      <c r="AT137" s="17"/>
      <c r="AU137" s="17"/>
      <c r="AV137" s="17"/>
      <c r="AW137" s="17"/>
      <c r="AX137" s="17"/>
      <c r="AY137" s="17"/>
      <c r="AZ137" s="17"/>
      <c r="BA137" s="17"/>
      <c r="BB137" s="17"/>
      <c r="BC137" s="17"/>
      <c r="BD137" s="17"/>
      <c r="BE137" s="17"/>
      <c r="BF137" s="17"/>
    </row>
    <row r="138" spans="1:61" x14ac:dyDescent="0.25">
      <c r="A138" s="88" t="s">
        <v>469</v>
      </c>
      <c r="B138" s="17">
        <v>68962</v>
      </c>
      <c r="C138" s="17"/>
      <c r="D138" s="17"/>
      <c r="E138" s="17">
        <v>43826</v>
      </c>
      <c r="F138" s="17"/>
      <c r="G138" s="17">
        <v>56736</v>
      </c>
      <c r="H138" s="17">
        <v>47509</v>
      </c>
      <c r="I138" s="17">
        <v>55575</v>
      </c>
      <c r="J138" s="17">
        <v>100587</v>
      </c>
      <c r="K138" s="17">
        <v>105526</v>
      </c>
      <c r="L138" s="17"/>
      <c r="M138" s="17"/>
      <c r="N138" s="17"/>
      <c r="O138" s="17"/>
      <c r="P138" s="17"/>
      <c r="Q138" s="17"/>
      <c r="R138" s="17">
        <v>115572</v>
      </c>
      <c r="S138" s="17"/>
      <c r="T138" s="17">
        <v>102678</v>
      </c>
      <c r="U138" s="17">
        <v>106716</v>
      </c>
      <c r="V138" s="17">
        <v>136250</v>
      </c>
      <c r="W138" s="17"/>
      <c r="X138" s="17">
        <v>171847</v>
      </c>
      <c r="Y138" s="17">
        <v>252634</v>
      </c>
      <c r="Z138" s="17">
        <v>381649</v>
      </c>
      <c r="AA138" s="17"/>
      <c r="AB138" s="17"/>
      <c r="AC138" s="17">
        <v>680310</v>
      </c>
      <c r="AD138" s="17"/>
      <c r="AE138" s="17">
        <v>883238</v>
      </c>
      <c r="AF138" s="17"/>
      <c r="AG138" s="17">
        <v>1019526</v>
      </c>
      <c r="AH138" s="17">
        <v>1145546</v>
      </c>
      <c r="AI138" s="17">
        <v>986709</v>
      </c>
      <c r="AJ138" s="17">
        <v>1151646</v>
      </c>
      <c r="AK138" s="17">
        <v>1056905</v>
      </c>
      <c r="AL138" s="17">
        <v>1196385</v>
      </c>
      <c r="AM138" s="17">
        <v>2000000</v>
      </c>
      <c r="AN138" s="17">
        <v>2000000</v>
      </c>
      <c r="AO138" s="17">
        <v>2000000</v>
      </c>
      <c r="AP138" s="17"/>
      <c r="AQ138" s="17"/>
      <c r="AR138" s="17">
        <v>3300000</v>
      </c>
      <c r="AS138" s="17">
        <v>3300000</v>
      </c>
      <c r="AT138" s="17"/>
      <c r="AU138" s="17">
        <v>3000000</v>
      </c>
      <c r="AV138" s="17">
        <v>3620400</v>
      </c>
      <c r="AW138" s="17">
        <v>3000000</v>
      </c>
      <c r="AX138" s="17">
        <v>3000000</v>
      </c>
      <c r="AY138" s="17">
        <v>3000000</v>
      </c>
      <c r="AZ138" s="17"/>
      <c r="BA138" s="17"/>
      <c r="BB138" s="17"/>
      <c r="BC138" s="17">
        <v>5000000</v>
      </c>
      <c r="BD138" s="17">
        <v>5000000</v>
      </c>
      <c r="BE138" s="17"/>
      <c r="BF138" s="17"/>
    </row>
    <row r="139" spans="1:61" x14ac:dyDescent="0.25">
      <c r="A139" s="88" t="s">
        <v>393</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v>2000000</v>
      </c>
      <c r="BE139" s="17"/>
      <c r="BF139" s="17"/>
    </row>
    <row r="140" spans="1:61" x14ac:dyDescent="0.25">
      <c r="A140" s="88" t="s">
        <v>973</v>
      </c>
      <c r="B140" s="17">
        <v>132000</v>
      </c>
      <c r="C140" s="17"/>
      <c r="D140" s="17"/>
      <c r="E140" s="17">
        <v>116000</v>
      </c>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row>
    <row r="141" spans="1:61" x14ac:dyDescent="0.25">
      <c r="A141" s="88" t="s">
        <v>938</v>
      </c>
      <c r="B141" s="17">
        <v>125000</v>
      </c>
      <c r="C141" s="17"/>
      <c r="D141" s="17"/>
      <c r="E141" s="17">
        <v>150000</v>
      </c>
      <c r="F141" s="17">
        <v>150000</v>
      </c>
      <c r="G141" s="17">
        <v>150000</v>
      </c>
      <c r="H141" s="17">
        <v>150000</v>
      </c>
      <c r="I141" s="17">
        <v>150000</v>
      </c>
      <c r="J141" s="17"/>
      <c r="K141" s="17">
        <v>150000</v>
      </c>
      <c r="L141" s="17"/>
      <c r="M141" s="17">
        <v>150000</v>
      </c>
      <c r="N141" s="17"/>
      <c r="O141" s="17"/>
      <c r="P141" s="17"/>
      <c r="Q141" s="17"/>
      <c r="R141" s="17">
        <v>275000</v>
      </c>
      <c r="S141" s="17">
        <f>(R141/15)*12</f>
        <v>220000</v>
      </c>
      <c r="T141" s="17">
        <v>220000</v>
      </c>
      <c r="U141" s="17">
        <v>220000</v>
      </c>
      <c r="V141" s="17">
        <v>220000</v>
      </c>
      <c r="W141" s="17"/>
      <c r="X141" s="17">
        <v>300000</v>
      </c>
      <c r="Y141" s="17">
        <v>300000</v>
      </c>
      <c r="Z141" s="17">
        <v>400000</v>
      </c>
      <c r="AA141" s="17"/>
      <c r="AB141" s="17"/>
      <c r="AC141" s="17">
        <v>500000</v>
      </c>
      <c r="AD141" s="17">
        <v>500000</v>
      </c>
      <c r="AE141" s="17">
        <v>500000</v>
      </c>
      <c r="AF141" s="17"/>
      <c r="AG141" s="17">
        <v>700000</v>
      </c>
      <c r="AH141" s="17">
        <v>700000</v>
      </c>
      <c r="AI141" s="17">
        <v>700000</v>
      </c>
      <c r="AJ141" s="17">
        <v>850000</v>
      </c>
      <c r="AK141" s="17">
        <v>850000</v>
      </c>
      <c r="AL141" s="17">
        <v>850000</v>
      </c>
      <c r="AM141" s="17">
        <v>850000</v>
      </c>
      <c r="AN141" s="17">
        <v>850000</v>
      </c>
      <c r="AO141" s="17">
        <v>850000</v>
      </c>
      <c r="AP141" s="17"/>
      <c r="AQ141" s="17"/>
      <c r="AR141" s="17">
        <v>1000000</v>
      </c>
      <c r="AS141" s="17">
        <v>1000000</v>
      </c>
      <c r="AT141" s="17"/>
      <c r="AU141" s="17">
        <v>1000000</v>
      </c>
      <c r="AV141" s="17">
        <v>1000000</v>
      </c>
      <c r="AW141" s="17">
        <v>1500000</v>
      </c>
      <c r="AX141" s="17">
        <v>2000000</v>
      </c>
      <c r="AY141" s="17">
        <v>2000000</v>
      </c>
      <c r="AZ141" s="17">
        <v>2000000</v>
      </c>
      <c r="BA141" s="17">
        <v>2000000</v>
      </c>
      <c r="BB141" s="17"/>
      <c r="BC141" s="17">
        <v>2000000</v>
      </c>
      <c r="BD141" s="17">
        <v>2000000</v>
      </c>
      <c r="BE141" s="17"/>
      <c r="BF141" s="17"/>
    </row>
    <row r="142" spans="1:61" x14ac:dyDescent="0.25">
      <c r="A142" s="88"/>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row>
    <row r="143" spans="1:61" x14ac:dyDescent="0.25">
      <c r="A143" s="81" t="s">
        <v>303</v>
      </c>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row>
    <row r="144" spans="1:61" x14ac:dyDescent="0.25">
      <c r="A144" s="88" t="s">
        <v>394</v>
      </c>
      <c r="B144" s="17"/>
      <c r="C144" s="17"/>
      <c r="D144" s="17"/>
      <c r="E144" s="17"/>
      <c r="F144" s="17"/>
      <c r="G144" s="17"/>
      <c r="H144" s="17"/>
      <c r="I144" s="17"/>
      <c r="J144" s="17">
        <v>48000</v>
      </c>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row>
    <row r="145" spans="1:58" x14ac:dyDescent="0.25">
      <c r="A145" s="43" t="s">
        <v>870</v>
      </c>
      <c r="B145" s="17"/>
      <c r="C145" s="17"/>
      <c r="D145" s="17"/>
      <c r="E145" s="17"/>
      <c r="F145" s="17"/>
      <c r="G145" s="17">
        <v>7120</v>
      </c>
      <c r="H145" s="17">
        <v>10000</v>
      </c>
      <c r="I145" s="17">
        <v>14120</v>
      </c>
      <c r="J145" s="17"/>
      <c r="K145" s="17">
        <v>9200</v>
      </c>
      <c r="L145" s="17"/>
      <c r="M145" s="17"/>
      <c r="N145" s="17"/>
      <c r="O145" s="17"/>
      <c r="P145" s="17"/>
      <c r="Q145" s="17"/>
      <c r="R145" s="17">
        <v>40000</v>
      </c>
      <c r="S145" s="17">
        <f>(R145/15)*12</f>
        <v>32000</v>
      </c>
      <c r="T145" s="17">
        <v>8900</v>
      </c>
      <c r="U145" s="17"/>
      <c r="V145" s="17"/>
      <c r="W145" s="17"/>
      <c r="X145" s="17"/>
      <c r="Y145" s="17">
        <v>46500</v>
      </c>
      <c r="Z145" s="17"/>
      <c r="AA145" s="17"/>
      <c r="AB145" s="17"/>
      <c r="AC145" s="17"/>
      <c r="AD145" s="17"/>
      <c r="AE145" s="17">
        <v>203000</v>
      </c>
      <c r="AF145" s="17"/>
      <c r="AG145" s="17">
        <v>593000</v>
      </c>
      <c r="AH145" s="17">
        <v>385000</v>
      </c>
      <c r="AI145" s="17">
        <v>382000</v>
      </c>
      <c r="AJ145" s="17">
        <v>425000</v>
      </c>
      <c r="AK145" s="17">
        <v>576000</v>
      </c>
      <c r="AL145" s="17">
        <v>942000</v>
      </c>
      <c r="AM145" s="17"/>
      <c r="AN145" s="17"/>
      <c r="AO145" s="17"/>
      <c r="AP145" s="17"/>
      <c r="AQ145" s="17"/>
      <c r="AR145" s="17"/>
      <c r="AS145" s="17"/>
      <c r="AT145" s="17"/>
      <c r="AU145" s="17">
        <v>2000000</v>
      </c>
      <c r="AV145" s="17">
        <v>2000000</v>
      </c>
      <c r="AW145" s="17">
        <v>2000000</v>
      </c>
      <c r="AX145" s="17">
        <v>2000000</v>
      </c>
      <c r="AY145" s="17">
        <v>2600000</v>
      </c>
      <c r="AZ145" s="17">
        <v>2600000</v>
      </c>
      <c r="BA145" s="17">
        <v>2600000</v>
      </c>
      <c r="BB145" s="17"/>
      <c r="BC145" s="17">
        <v>2600000</v>
      </c>
      <c r="BD145" s="17">
        <v>2600000</v>
      </c>
      <c r="BE145" s="17"/>
      <c r="BF145" s="17"/>
    </row>
    <row r="146" spans="1:58" ht="15" customHeight="1" x14ac:dyDescent="0.25">
      <c r="A146" s="88" t="s">
        <v>939</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v>8000000</v>
      </c>
      <c r="AS146" s="17">
        <v>16000000</v>
      </c>
      <c r="AT146" s="17"/>
      <c r="AU146" s="17">
        <v>18000000</v>
      </c>
      <c r="AV146" s="17">
        <v>55216600</v>
      </c>
      <c r="AW146" s="17">
        <v>54000000</v>
      </c>
      <c r="AX146" s="17">
        <v>62600000</v>
      </c>
      <c r="AY146" s="17"/>
      <c r="AZ146" s="17">
        <v>72500000</v>
      </c>
      <c r="BA146" s="17">
        <v>72500000</v>
      </c>
      <c r="BB146" s="17"/>
      <c r="BC146" s="17">
        <v>74500000</v>
      </c>
      <c r="BD146" s="17">
        <v>80000000</v>
      </c>
      <c r="BE146" s="17"/>
      <c r="BF146" s="17"/>
    </row>
    <row r="147" spans="1:58" x14ac:dyDescent="0.25">
      <c r="A147" s="88" t="s">
        <v>395</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c r="AV147" s="17">
        <v>933300</v>
      </c>
      <c r="AW147" s="17"/>
      <c r="AX147" s="17"/>
      <c r="AY147" s="17"/>
      <c r="AZ147" s="17"/>
      <c r="BA147" s="17"/>
      <c r="BB147" s="17"/>
      <c r="BC147" s="17"/>
      <c r="BD147" s="17"/>
      <c r="BE147" s="17"/>
      <c r="BF147" s="17"/>
    </row>
    <row r="148" spans="1:58" x14ac:dyDescent="0.25">
      <c r="A148" s="88" t="s">
        <v>474</v>
      </c>
      <c r="B148" s="17">
        <f>8960+7720+227900</f>
        <v>244580</v>
      </c>
      <c r="C148" s="17"/>
      <c r="D148" s="17"/>
      <c r="E148" s="17">
        <v>532946</v>
      </c>
      <c r="F148" s="17">
        <f>219152</f>
        <v>219152</v>
      </c>
      <c r="G148" s="17">
        <f>2720+7330+1920+1200+77920</f>
        <v>91090</v>
      </c>
      <c r="H148" s="17">
        <f>464520+1440+5480+18240+11280</f>
        <v>500960</v>
      </c>
      <c r="I148" s="17">
        <f>9160+219080+55800+6900</f>
        <v>290940</v>
      </c>
      <c r="J148" s="17"/>
      <c r="K148" s="17">
        <f>441960+14580+14400</f>
        <v>470940</v>
      </c>
      <c r="L148" s="17"/>
      <c r="M148" s="17">
        <f>213000+18340+406080+389000+4560</f>
        <v>1030980</v>
      </c>
      <c r="N148" s="17"/>
      <c r="O148" s="17"/>
      <c r="P148" s="17"/>
      <c r="Q148" s="17"/>
      <c r="R148" s="17">
        <f>35600+32960+644400+217060+17980+61240+356050+333334+8200</f>
        <v>1706824</v>
      </c>
      <c r="S148" s="17">
        <f>(R148/15)*12</f>
        <v>1365459.2</v>
      </c>
      <c r="T148" s="17">
        <f>6320+19940+59740+10160+155700+28840+131320+2860</f>
        <v>414880</v>
      </c>
      <c r="U148" s="17">
        <f>5000+18140+2280+247620</f>
        <v>273040</v>
      </c>
      <c r="V148" s="17">
        <f>16060+29240+91460+10280</f>
        <v>147040</v>
      </c>
      <c r="W148" s="17"/>
      <c r="X148" s="17">
        <f>731010+328300+109920+2880</f>
        <v>1172110</v>
      </c>
      <c r="Y148" s="17">
        <f>12920+1440130</f>
        <v>1453050</v>
      </c>
      <c r="Z148" s="17">
        <f>4846880</f>
        <v>4846880</v>
      </c>
      <c r="AA148" s="17"/>
      <c r="AB148" s="17"/>
      <c r="AC148" s="17">
        <f>3326180+715000+2147223</f>
        <v>6188403</v>
      </c>
      <c r="AD148" s="17">
        <v>8860000</v>
      </c>
      <c r="AE148" s="17">
        <f>1994000+1000000+200000+4400000+5254678</f>
        <v>12848678</v>
      </c>
      <c r="AF148" s="17"/>
      <c r="AG148" s="17">
        <f>653406+1340360+4721015+841949+697500+1007573+462760+1119200+1654425+3531074</f>
        <v>16029262</v>
      </c>
      <c r="AH148" s="17">
        <f>1305250+438200+1500000+3399950+5460000+2000000+2580000+567000+3039375+2267734</f>
        <v>22557509</v>
      </c>
      <c r="AI148" s="17">
        <f>5772928+3795180+820000+7520803+1228158+10748486+2221904</f>
        <v>32107459</v>
      </c>
      <c r="AJ148" s="17">
        <f>1111395+399000+7793212+1699919+1445000+1268368+158000+1262777</f>
        <v>15137671</v>
      </c>
      <c r="AK148" s="17">
        <f>844000+536660+422750+5331267+2500000+2500000+10954650</f>
        <v>23089327</v>
      </c>
      <c r="AL148" s="17">
        <f>3691360+678500+3398395+672300+79980+4000000+1029330+3845090</f>
        <v>17394955</v>
      </c>
      <c r="AM148" s="17">
        <v>17629000</v>
      </c>
      <c r="AN148" s="17">
        <v>21063000</v>
      </c>
      <c r="AO148" s="17">
        <v>38900000</v>
      </c>
      <c r="AP148" s="17"/>
      <c r="AQ148" s="17"/>
      <c r="AR148" s="17">
        <v>10902000</v>
      </c>
      <c r="AS148" s="17">
        <v>3550000</v>
      </c>
      <c r="AT148" s="17"/>
      <c r="AU148" s="17">
        <v>21280000</v>
      </c>
      <c r="AV148" s="17"/>
      <c r="AW148" s="17">
        <v>15540000</v>
      </c>
      <c r="AX148" s="17">
        <v>7494830</v>
      </c>
      <c r="AY148" s="17"/>
      <c r="AZ148" s="17"/>
      <c r="BA148" s="17"/>
      <c r="BB148" s="17"/>
      <c r="BC148" s="17">
        <v>29786600</v>
      </c>
      <c r="BD148" s="17">
        <v>6112600</v>
      </c>
      <c r="BE148" s="17"/>
      <c r="BF148" s="17"/>
    </row>
    <row r="149" spans="1:58" x14ac:dyDescent="0.25">
      <c r="A149" s="88" t="s">
        <v>476</v>
      </c>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7">
        <v>70500000</v>
      </c>
      <c r="AZ149" s="17">
        <v>13212032</v>
      </c>
      <c r="BA149" s="17">
        <v>36000000</v>
      </c>
      <c r="BB149" s="17"/>
      <c r="BC149" s="17"/>
      <c r="BD149" s="17"/>
      <c r="BE149" s="17"/>
      <c r="BF149" s="17"/>
    </row>
    <row r="150" spans="1:58" x14ac:dyDescent="0.25">
      <c r="A150" s="156" t="s">
        <v>974</v>
      </c>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f>5519160+1332350</f>
        <v>6851510</v>
      </c>
      <c r="AL150" s="17"/>
      <c r="AM150" s="17"/>
      <c r="AN150" s="17"/>
      <c r="AO150" s="17"/>
      <c r="AP150" s="17"/>
      <c r="AQ150" s="17"/>
      <c r="AR150" s="17"/>
      <c r="AS150" s="17"/>
      <c r="AT150" s="17"/>
      <c r="AU150" s="17"/>
      <c r="AV150" s="17"/>
      <c r="AW150" s="17"/>
      <c r="AX150" s="17"/>
      <c r="AY150" s="17"/>
      <c r="AZ150" s="17"/>
      <c r="BA150" s="17"/>
      <c r="BB150" s="17"/>
      <c r="BC150" s="17"/>
      <c r="BD150" s="17"/>
      <c r="BE150" s="17"/>
      <c r="BF150" s="17"/>
    </row>
    <row r="151" spans="1:58" ht="30" x14ac:dyDescent="0.25">
      <c r="A151" s="88" t="s">
        <v>941</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v>600000</v>
      </c>
      <c r="BA151" s="17">
        <v>600000</v>
      </c>
      <c r="BB151" s="17"/>
      <c r="BC151" s="17">
        <v>360000</v>
      </c>
      <c r="BD151" s="17">
        <v>360000</v>
      </c>
      <c r="BE151" s="17"/>
      <c r="BF151" s="17"/>
    </row>
    <row r="152" spans="1:58" x14ac:dyDescent="0.25">
      <c r="A152" s="88" t="s">
        <v>940</v>
      </c>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v>1100000</v>
      </c>
      <c r="AW152" s="17"/>
      <c r="AX152" s="17"/>
      <c r="AY152" s="17"/>
      <c r="AZ152" s="17">
        <v>1200000</v>
      </c>
      <c r="BA152" s="17">
        <v>2400000</v>
      </c>
      <c r="BB152" s="17"/>
      <c r="BC152" s="17">
        <v>1200000</v>
      </c>
      <c r="BD152" s="17">
        <v>1200000</v>
      </c>
      <c r="BE152" s="17"/>
      <c r="BF152" s="17"/>
    </row>
    <row r="153" spans="1:58" x14ac:dyDescent="0.25">
      <c r="A153" s="88"/>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row>
    <row r="154" spans="1:58" ht="18.75" customHeight="1" x14ac:dyDescent="0.25">
      <c r="A154" s="88" t="s">
        <v>480</v>
      </c>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v>2185360</v>
      </c>
      <c r="AL154" s="17">
        <v>2385700</v>
      </c>
      <c r="AM154" s="17"/>
      <c r="AN154" s="17"/>
      <c r="AO154" s="17"/>
      <c r="AP154" s="17"/>
      <c r="AQ154" s="17"/>
      <c r="AR154" s="17">
        <v>2500000</v>
      </c>
      <c r="AS154" s="17">
        <v>2500000</v>
      </c>
      <c r="AT154" s="17"/>
      <c r="AU154" s="17">
        <v>1200000</v>
      </c>
      <c r="AV154" s="17"/>
      <c r="AW154" s="17">
        <v>2500000</v>
      </c>
      <c r="AX154" s="17">
        <v>2500000</v>
      </c>
      <c r="AY154" s="17">
        <v>2500000</v>
      </c>
      <c r="AZ154" s="17">
        <v>2500000</v>
      </c>
      <c r="BA154" s="17">
        <v>2500000</v>
      </c>
      <c r="BB154" s="17"/>
      <c r="BC154" s="17">
        <v>2500000</v>
      </c>
      <c r="BD154" s="17">
        <v>2500000</v>
      </c>
      <c r="BE154" s="17"/>
      <c r="BF154" s="17"/>
    </row>
    <row r="155" spans="1:58" ht="30" x14ac:dyDescent="0.25">
      <c r="A155" s="88" t="s">
        <v>478</v>
      </c>
      <c r="B155" s="17"/>
      <c r="C155" s="17"/>
      <c r="D155" s="17"/>
      <c r="E155" s="17"/>
      <c r="F155" s="17">
        <v>8360</v>
      </c>
      <c r="G155" s="17">
        <f>4160+2920</f>
        <v>7080</v>
      </c>
      <c r="H155" s="17">
        <v>17180</v>
      </c>
      <c r="I155" s="17"/>
      <c r="J155" s="17"/>
      <c r="K155" s="17"/>
      <c r="L155" s="17"/>
      <c r="M155" s="17"/>
      <c r="N155" s="17"/>
      <c r="O155" s="17"/>
      <c r="P155" s="17"/>
      <c r="Q155" s="17"/>
      <c r="R155" s="17">
        <v>4000</v>
      </c>
      <c r="S155" s="17">
        <f>(R155/15)*12</f>
        <v>3200</v>
      </c>
      <c r="T155" s="17">
        <v>8000</v>
      </c>
      <c r="U155" s="17">
        <f>2000+3200</f>
        <v>5200</v>
      </c>
      <c r="V155" s="17">
        <v>1000</v>
      </c>
      <c r="W155" s="17"/>
      <c r="X155" s="17">
        <v>17480</v>
      </c>
      <c r="Y155" s="17">
        <v>12000</v>
      </c>
      <c r="Z155" s="17">
        <v>44840</v>
      </c>
      <c r="AA155" s="17"/>
      <c r="AB155" s="17"/>
      <c r="AC155" s="17">
        <v>38000</v>
      </c>
      <c r="AD155" s="17"/>
      <c r="AE155" s="17">
        <v>90560</v>
      </c>
      <c r="AF155" s="17"/>
      <c r="AG155" s="17"/>
      <c r="AH155" s="17">
        <v>100000</v>
      </c>
      <c r="AI155" s="17">
        <v>70720</v>
      </c>
      <c r="AJ155" s="17">
        <v>73060</v>
      </c>
      <c r="AK155" s="17">
        <v>102240</v>
      </c>
      <c r="AL155" s="17">
        <v>48140</v>
      </c>
      <c r="AM155" s="17"/>
      <c r="AN155" s="17"/>
      <c r="AO155" s="17"/>
      <c r="AP155" s="17"/>
      <c r="AQ155" s="17"/>
      <c r="AR155" s="17"/>
      <c r="AS155" s="17"/>
      <c r="AT155" s="17"/>
      <c r="AU155" s="17"/>
      <c r="AV155" s="17"/>
      <c r="AW155" s="17"/>
      <c r="AX155" s="17"/>
      <c r="AY155" s="17"/>
      <c r="AZ155" s="17"/>
      <c r="BA155" s="17"/>
      <c r="BB155" s="17"/>
      <c r="BC155" s="17"/>
      <c r="BD155" s="17"/>
      <c r="BE155" s="17"/>
      <c r="BF155" s="17"/>
    </row>
    <row r="156" spans="1:58" x14ac:dyDescent="0.25">
      <c r="A156" s="88" t="s">
        <v>477</v>
      </c>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v>1434800</v>
      </c>
      <c r="AL156" s="17">
        <v>2032432</v>
      </c>
      <c r="AM156" s="17"/>
      <c r="AN156" s="17"/>
      <c r="AO156" s="17"/>
      <c r="AP156" s="17"/>
      <c r="AQ156" s="17"/>
      <c r="AR156" s="17"/>
      <c r="AS156" s="17"/>
      <c r="AT156" s="17"/>
      <c r="AU156" s="17"/>
      <c r="AV156" s="17"/>
      <c r="AW156" s="17"/>
      <c r="AX156" s="17"/>
      <c r="AY156" s="17"/>
      <c r="AZ156" s="17"/>
      <c r="BA156" s="17"/>
      <c r="BB156" s="17"/>
      <c r="BC156" s="17"/>
      <c r="BD156" s="17"/>
      <c r="BE156" s="17"/>
      <c r="BF156" s="17"/>
    </row>
    <row r="157" spans="1:58" x14ac:dyDescent="0.25">
      <c r="A157" s="88" t="s">
        <v>942</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v>3600000</v>
      </c>
      <c r="AS157" s="17">
        <v>2600000</v>
      </c>
      <c r="AT157" s="17"/>
      <c r="AU157" s="17"/>
      <c r="AV157" s="17">
        <v>6705625</v>
      </c>
      <c r="AW157" s="17"/>
      <c r="AX157" s="17"/>
      <c r="AY157" s="17"/>
      <c r="AZ157" s="17"/>
      <c r="BA157" s="17"/>
      <c r="BB157" s="17"/>
      <c r="BC157" s="17"/>
      <c r="BD157" s="17"/>
      <c r="BE157" s="17"/>
      <c r="BF157" s="17"/>
    </row>
    <row r="158" spans="1:58" x14ac:dyDescent="0.25">
      <c r="A158" s="88" t="s">
        <v>896</v>
      </c>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v>5000000</v>
      </c>
      <c r="AX158" s="17">
        <v>8000000</v>
      </c>
      <c r="AY158" s="17">
        <v>8600000</v>
      </c>
      <c r="AZ158" s="17">
        <v>9600000</v>
      </c>
      <c r="BA158" s="17">
        <v>9600000</v>
      </c>
      <c r="BB158" s="17"/>
      <c r="BC158" s="17">
        <v>10000000</v>
      </c>
      <c r="BD158" s="17">
        <v>10000000</v>
      </c>
      <c r="BE158" s="17"/>
      <c r="BF158" s="17"/>
    </row>
    <row r="159" spans="1:58" ht="15" customHeight="1" x14ac:dyDescent="0.25">
      <c r="A159" s="88" t="s">
        <v>396</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v>24500</v>
      </c>
      <c r="Y159" s="17"/>
      <c r="Z159" s="17">
        <v>16500</v>
      </c>
      <c r="AA159" s="17"/>
      <c r="AB159" s="17"/>
      <c r="AC159" s="17">
        <v>11000</v>
      </c>
      <c r="AD159" s="17"/>
      <c r="AE159" s="17"/>
      <c r="AF159" s="17"/>
      <c r="AG159" s="17">
        <v>24500</v>
      </c>
      <c r="AH159" s="17"/>
      <c r="AI159" s="17"/>
      <c r="AJ159" s="17"/>
      <c r="AK159" s="17"/>
      <c r="AL159" s="17"/>
      <c r="AM159" s="17"/>
      <c r="AN159" s="17"/>
      <c r="AO159" s="17"/>
      <c r="AP159" s="17"/>
      <c r="AQ159" s="17"/>
      <c r="AR159" s="17"/>
      <c r="AS159" s="17"/>
      <c r="AT159" s="17"/>
      <c r="AU159" s="17"/>
      <c r="AV159" s="17">
        <v>66000</v>
      </c>
      <c r="AW159" s="17"/>
      <c r="AX159" s="17"/>
      <c r="AY159" s="17"/>
      <c r="AZ159" s="17"/>
      <c r="BA159" s="17"/>
      <c r="BB159" s="17"/>
      <c r="BC159" s="17"/>
      <c r="BD159" s="17"/>
      <c r="BE159" s="17"/>
      <c r="BF159" s="17"/>
    </row>
    <row r="160" spans="1:58" x14ac:dyDescent="0.25">
      <c r="A160" s="88" t="s">
        <v>397</v>
      </c>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v>104340</v>
      </c>
      <c r="AW160" s="17"/>
      <c r="AX160" s="17"/>
      <c r="AY160" s="17"/>
      <c r="AZ160" s="17"/>
      <c r="BA160" s="17"/>
      <c r="BB160" s="17"/>
      <c r="BC160" s="17"/>
      <c r="BD160" s="17"/>
      <c r="BE160" s="17"/>
      <c r="BF160" s="17"/>
    </row>
    <row r="161" spans="1:58" x14ac:dyDescent="0.25">
      <c r="A161" s="88" t="s">
        <v>479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v>441000</v>
      </c>
      <c r="AK161" s="17"/>
      <c r="AL161" s="17"/>
      <c r="AM161" s="17"/>
      <c r="AN161" s="17"/>
      <c r="AO161" s="17"/>
      <c r="AP161" s="17"/>
      <c r="AQ161" s="17"/>
      <c r="AR161" s="17"/>
      <c r="AS161" s="17"/>
      <c r="AT161" s="17"/>
      <c r="AU161" s="17"/>
      <c r="AV161" s="17">
        <v>3175185</v>
      </c>
      <c r="AW161" s="17"/>
      <c r="AX161" s="17"/>
      <c r="AY161" s="17"/>
      <c r="AZ161" s="17"/>
      <c r="BA161" s="17"/>
      <c r="BB161" s="17"/>
      <c r="BC161" s="17"/>
      <c r="BD161" s="17"/>
      <c r="BE161" s="17"/>
      <c r="BF161" s="17"/>
    </row>
    <row r="162" spans="1:58" x14ac:dyDescent="0.25">
      <c r="A162" s="88"/>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row>
    <row r="163" spans="1:58" x14ac:dyDescent="0.25">
      <c r="A163" s="88" t="s">
        <v>401</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v>779293</v>
      </c>
      <c r="AI163" s="17">
        <v>790388</v>
      </c>
      <c r="AJ163" s="17"/>
      <c r="AK163" s="17">
        <v>2333714</v>
      </c>
      <c r="AL163" s="17"/>
      <c r="AM163" s="17"/>
      <c r="AN163" s="17"/>
      <c r="AO163" s="17"/>
      <c r="AP163" s="17"/>
      <c r="AQ163" s="17"/>
      <c r="AR163" s="17"/>
      <c r="AS163" s="17"/>
      <c r="AT163" s="17"/>
      <c r="AU163" s="17"/>
      <c r="AV163" s="17"/>
      <c r="AW163" s="17"/>
      <c r="AX163" s="17"/>
      <c r="AY163" s="17"/>
      <c r="AZ163" s="17"/>
      <c r="BA163" s="17"/>
      <c r="BB163" s="17"/>
      <c r="BC163" s="17"/>
      <c r="BD163" s="17"/>
      <c r="BE163" s="17"/>
      <c r="BF163" s="17"/>
    </row>
    <row r="164" spans="1:58" x14ac:dyDescent="0.25">
      <c r="A164" s="88" t="s">
        <v>497</v>
      </c>
      <c r="B164" s="17">
        <v>234200</v>
      </c>
      <c r="C164" s="17"/>
      <c r="D164" s="17"/>
      <c r="E164" s="17">
        <v>177845</v>
      </c>
      <c r="F164" s="17"/>
      <c r="G164" s="17"/>
      <c r="H164" s="17"/>
      <c r="I164" s="17"/>
      <c r="J164" s="17"/>
      <c r="K164" s="17"/>
      <c r="L164" s="17"/>
      <c r="M164" s="17"/>
      <c r="N164" s="17"/>
      <c r="O164" s="17"/>
      <c r="P164" s="17"/>
      <c r="Q164" s="17"/>
      <c r="R164" s="17"/>
      <c r="S164" s="17"/>
      <c r="T164" s="17"/>
      <c r="U164" s="17"/>
      <c r="V164" s="17"/>
      <c r="W164" s="17"/>
      <c r="X164" s="17"/>
      <c r="Y164" s="17">
        <v>45120</v>
      </c>
      <c r="Z164" s="17"/>
      <c r="AA164" s="17"/>
      <c r="AB164" s="17"/>
      <c r="AC164" s="17">
        <v>525150</v>
      </c>
      <c r="AD164" s="17"/>
      <c r="AE164" s="17">
        <v>1358762</v>
      </c>
      <c r="AF164" s="17"/>
      <c r="AG164" s="17">
        <v>1010527</v>
      </c>
      <c r="AH164" s="17"/>
      <c r="AI164" s="17"/>
      <c r="AJ164" s="17">
        <v>1445646</v>
      </c>
      <c r="AK164" s="17"/>
      <c r="AL164" s="17">
        <v>1256250</v>
      </c>
      <c r="AM164" s="17">
        <v>2000000</v>
      </c>
      <c r="AN164" s="17">
        <v>1500000</v>
      </c>
      <c r="AO164" s="17">
        <v>2000000</v>
      </c>
      <c r="AP164" s="17"/>
      <c r="AQ164" s="17"/>
      <c r="AR164" s="17">
        <v>1000000</v>
      </c>
      <c r="AS164" s="17">
        <v>1000000</v>
      </c>
      <c r="AT164" s="17"/>
      <c r="AU164" s="17"/>
      <c r="AV164" s="17"/>
      <c r="AW164" s="17"/>
      <c r="AX164" s="17"/>
      <c r="AY164" s="17"/>
      <c r="AZ164" s="17"/>
      <c r="BA164" s="17"/>
      <c r="BB164" s="17"/>
      <c r="BC164" s="17"/>
      <c r="BD164" s="17"/>
      <c r="BE164" s="17"/>
      <c r="BF164" s="17"/>
    </row>
    <row r="165" spans="1:58" x14ac:dyDescent="0.25">
      <c r="A165" s="88" t="s">
        <v>482</v>
      </c>
      <c r="B165" s="17"/>
      <c r="C165" s="17"/>
      <c r="D165" s="17"/>
      <c r="E165" s="17"/>
      <c r="F165" s="17">
        <v>200</v>
      </c>
      <c r="G165" s="17">
        <v>178700</v>
      </c>
      <c r="H165" s="17">
        <v>196800</v>
      </c>
      <c r="I165" s="17">
        <v>133724</v>
      </c>
      <c r="J165" s="17"/>
      <c r="K165" s="17">
        <v>428750</v>
      </c>
      <c r="L165" s="17"/>
      <c r="M165" s="17">
        <v>278808</v>
      </c>
      <c r="N165" s="17"/>
      <c r="O165" s="17"/>
      <c r="P165" s="17"/>
      <c r="Q165" s="17"/>
      <c r="R165" s="17"/>
      <c r="S165" s="17"/>
      <c r="T165" s="17">
        <f>372693+17600</f>
        <v>390293</v>
      </c>
      <c r="U165" s="17">
        <v>397123</v>
      </c>
      <c r="V165" s="17">
        <v>472900</v>
      </c>
      <c r="W165" s="17"/>
      <c r="X165" s="17"/>
      <c r="Y165" s="17">
        <v>1296302</v>
      </c>
      <c r="Z165" s="17">
        <v>1383226</v>
      </c>
      <c r="AA165" s="17"/>
      <c r="AB165" s="17"/>
      <c r="AC165" s="17">
        <v>693320</v>
      </c>
      <c r="AD165" s="17"/>
      <c r="AE165" s="17"/>
      <c r="AF165" s="17"/>
      <c r="AG165" s="17"/>
      <c r="AH165" s="17"/>
      <c r="AI165" s="17"/>
      <c r="AJ165" s="17"/>
      <c r="AK165" s="17"/>
      <c r="AL165" s="17"/>
      <c r="AM165" s="17"/>
      <c r="AN165" s="17"/>
      <c r="AO165" s="17"/>
      <c r="AP165" s="17"/>
      <c r="AQ165" s="17"/>
      <c r="AR165" s="17"/>
      <c r="AS165" s="17"/>
      <c r="AT165" s="17"/>
      <c r="AU165" s="17"/>
      <c r="AV165" s="17"/>
      <c r="AW165" s="17"/>
      <c r="AX165" s="17">
        <v>1000000</v>
      </c>
      <c r="AY165" s="17"/>
      <c r="AZ165" s="17"/>
      <c r="BA165" s="17"/>
      <c r="BB165" s="17"/>
      <c r="BC165" s="17">
        <v>2000000</v>
      </c>
      <c r="BD165" s="17">
        <v>2000000</v>
      </c>
      <c r="BE165" s="17"/>
      <c r="BF165" s="17"/>
    </row>
    <row r="166" spans="1:58" x14ac:dyDescent="0.25">
      <c r="A166" s="88" t="s">
        <v>400</v>
      </c>
      <c r="B166" s="17"/>
      <c r="C166" s="17"/>
      <c r="D166" s="17"/>
      <c r="E166" s="17">
        <v>12680</v>
      </c>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row>
    <row r="167" spans="1:58" ht="30" x14ac:dyDescent="0.25">
      <c r="A167" s="88" t="s">
        <v>492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v>415343</v>
      </c>
      <c r="AH167" s="17"/>
      <c r="AI167" s="17"/>
      <c r="AJ167" s="17"/>
      <c r="AK167" s="17"/>
      <c r="AL167" s="17">
        <v>231920</v>
      </c>
      <c r="AM167" s="17"/>
      <c r="AN167" s="17"/>
      <c r="AO167" s="17"/>
      <c r="AP167" s="17"/>
      <c r="AQ167" s="17"/>
      <c r="AR167" s="17"/>
      <c r="AS167" s="17"/>
      <c r="AT167" s="17"/>
      <c r="AU167" s="17"/>
      <c r="AV167" s="17"/>
      <c r="AW167" s="17"/>
      <c r="AX167" s="17"/>
      <c r="AY167" s="17"/>
      <c r="AZ167" s="17"/>
      <c r="BA167" s="17"/>
      <c r="BB167" s="17"/>
      <c r="BC167" s="17"/>
      <c r="BD167" s="17"/>
      <c r="BE167" s="17"/>
      <c r="BF167" s="17"/>
    </row>
    <row r="168" spans="1:58" x14ac:dyDescent="0.25">
      <c r="A168" s="88" t="s">
        <v>494</v>
      </c>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v>1400000</v>
      </c>
      <c r="BD168" s="17">
        <v>1400000</v>
      </c>
      <c r="BE168" s="17"/>
      <c r="BF168" s="17"/>
    </row>
    <row r="169" spans="1:58" x14ac:dyDescent="0.25">
      <c r="A169" s="88" t="s">
        <v>493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v>112820</v>
      </c>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row>
    <row r="170" spans="1:58" x14ac:dyDescent="0.25">
      <c r="A170" s="88" t="s">
        <v>491</v>
      </c>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v>344390</v>
      </c>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row>
    <row r="171" spans="1:58" x14ac:dyDescent="0.25">
      <c r="A171" s="88" t="s">
        <v>490</v>
      </c>
      <c r="B171" s="17"/>
      <c r="C171" s="17"/>
      <c r="D171" s="17"/>
      <c r="E171" s="17"/>
      <c r="F171" s="17">
        <v>14160</v>
      </c>
      <c r="G171" s="17">
        <f>25400+1340</f>
        <v>26740</v>
      </c>
      <c r="H171" s="17">
        <v>27160</v>
      </c>
      <c r="I171" s="17">
        <v>34920</v>
      </c>
      <c r="J171" s="17"/>
      <c r="K171" s="17">
        <f>23290+1320</f>
        <v>24610</v>
      </c>
      <c r="L171" s="17"/>
      <c r="M171" s="17">
        <v>31520</v>
      </c>
      <c r="N171" s="17"/>
      <c r="O171" s="17"/>
      <c r="P171" s="17"/>
      <c r="Q171" s="17"/>
      <c r="R171" s="17">
        <v>78440</v>
      </c>
      <c r="S171" s="17">
        <f>(R171/15)*12</f>
        <v>62752</v>
      </c>
      <c r="T171" s="17">
        <v>27860</v>
      </c>
      <c r="U171" s="17"/>
      <c r="V171" s="17"/>
      <c r="W171" s="17"/>
      <c r="X171" s="17"/>
      <c r="Y171" s="17"/>
      <c r="Z171" s="17">
        <v>146820</v>
      </c>
      <c r="AA171" s="17"/>
      <c r="AB171" s="17"/>
      <c r="AC171" s="17">
        <v>300000</v>
      </c>
      <c r="AD171" s="17">
        <v>300000</v>
      </c>
      <c r="AE171" s="17">
        <v>340992</v>
      </c>
      <c r="AF171" s="17"/>
      <c r="AG171" s="17"/>
      <c r="AH171" s="17">
        <v>208800</v>
      </c>
      <c r="AI171" s="17"/>
      <c r="AJ171" s="17">
        <v>456020</v>
      </c>
      <c r="AK171" s="17">
        <v>501590</v>
      </c>
      <c r="AL171" s="17"/>
      <c r="AM171" s="17">
        <v>600000</v>
      </c>
      <c r="AN171" s="17">
        <v>600000</v>
      </c>
      <c r="AO171" s="17">
        <v>600000</v>
      </c>
      <c r="AP171" s="17"/>
      <c r="AQ171" s="17"/>
      <c r="AR171" s="17">
        <v>600000</v>
      </c>
      <c r="AS171" s="17">
        <v>500000</v>
      </c>
      <c r="AT171" s="17"/>
      <c r="AU171" s="17">
        <v>600000</v>
      </c>
      <c r="AV171" s="17"/>
      <c r="AW171" s="17">
        <v>730000</v>
      </c>
      <c r="AX171" s="17">
        <v>720000</v>
      </c>
      <c r="AY171" s="17">
        <v>300000</v>
      </c>
      <c r="AZ171" s="17">
        <v>140000</v>
      </c>
      <c r="BA171" s="17">
        <v>444000</v>
      </c>
      <c r="BB171" s="17"/>
      <c r="BC171" s="17"/>
      <c r="BD171" s="17"/>
      <c r="BE171" s="17"/>
      <c r="BF171" s="17"/>
    </row>
    <row r="172" spans="1:58" ht="15" customHeight="1" x14ac:dyDescent="0.25">
      <c r="A172" s="88" t="s">
        <v>481</v>
      </c>
      <c r="B172" s="17"/>
      <c r="C172" s="17"/>
      <c r="D172" s="17"/>
      <c r="E172" s="17"/>
      <c r="F172" s="17">
        <v>11720</v>
      </c>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row>
    <row r="173" spans="1:58" x14ac:dyDescent="0.25">
      <c r="A173" s="88" t="s">
        <v>1066</v>
      </c>
      <c r="B173" s="17"/>
      <c r="C173" s="17"/>
      <c r="D173" s="17"/>
      <c r="E173" s="17"/>
      <c r="F173" s="17"/>
      <c r="G173" s="17">
        <v>5640</v>
      </c>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v>7000000</v>
      </c>
      <c r="AV173" s="17">
        <v>812660</v>
      </c>
      <c r="AW173" s="17">
        <v>1200000</v>
      </c>
      <c r="AX173" s="17">
        <v>960000</v>
      </c>
      <c r="AY173" s="17">
        <v>960000</v>
      </c>
      <c r="AZ173" s="17">
        <v>960000</v>
      </c>
      <c r="BA173" s="17">
        <v>960000</v>
      </c>
      <c r="BB173" s="17"/>
      <c r="BC173" s="17"/>
      <c r="BD173" s="17"/>
      <c r="BE173" s="17"/>
      <c r="BF173" s="17"/>
    </row>
    <row r="174" spans="1:58" ht="15" customHeight="1" x14ac:dyDescent="0.25">
      <c r="A174" s="88" t="s">
        <v>499</v>
      </c>
      <c r="B174" s="17"/>
      <c r="C174" s="17"/>
      <c r="D174" s="17"/>
      <c r="E174" s="17">
        <v>40000</v>
      </c>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v>180000</v>
      </c>
      <c r="AD174" s="17">
        <v>1800000</v>
      </c>
      <c r="AE174" s="17"/>
      <c r="AF174" s="17"/>
      <c r="AG174" s="17"/>
      <c r="AH174" s="17"/>
      <c r="AI174" s="17"/>
      <c r="AJ174" s="17"/>
      <c r="AK174" s="17"/>
      <c r="AL174" s="17"/>
      <c r="AM174" s="17"/>
      <c r="AN174" s="17"/>
      <c r="AO174" s="17"/>
      <c r="AP174" s="17"/>
      <c r="AQ174" s="17"/>
      <c r="AR174" s="17"/>
      <c r="AS174" s="17"/>
      <c r="AT174" s="17"/>
      <c r="AU174" s="17">
        <v>1000000</v>
      </c>
      <c r="AV174" s="17">
        <v>4144960</v>
      </c>
      <c r="AW174" s="17">
        <v>1500000</v>
      </c>
      <c r="AX174" s="17">
        <v>1500000</v>
      </c>
      <c r="AY174" s="17">
        <v>2500000</v>
      </c>
      <c r="AZ174" s="17">
        <v>3000000</v>
      </c>
      <c r="BA174" s="17">
        <v>4000000</v>
      </c>
      <c r="BB174" s="17"/>
      <c r="BC174" s="17">
        <v>3000000</v>
      </c>
      <c r="BD174" s="17">
        <v>3000000</v>
      </c>
      <c r="BE174" s="17"/>
      <c r="BF174" s="17"/>
    </row>
    <row r="175" spans="1:58" x14ac:dyDescent="0.25">
      <c r="A175" s="88" t="s">
        <v>495</v>
      </c>
      <c r="B175" s="17"/>
      <c r="C175" s="17"/>
      <c r="D175" s="17"/>
      <c r="E175" s="17"/>
      <c r="F175" s="17"/>
      <c r="G175" s="17"/>
      <c r="H175" s="17"/>
      <c r="I175" s="17"/>
      <c r="J175" s="17"/>
      <c r="K175" s="17"/>
      <c r="L175" s="17"/>
      <c r="M175" s="17"/>
      <c r="N175" s="17"/>
      <c r="O175" s="17"/>
      <c r="P175" s="17"/>
      <c r="Q175" s="17"/>
      <c r="R175" s="17">
        <v>2240</v>
      </c>
      <c r="S175" s="17">
        <f>(R175/15)*12</f>
        <v>1792</v>
      </c>
      <c r="T175" s="17"/>
      <c r="U175" s="17"/>
      <c r="V175" s="17"/>
      <c r="W175" s="17"/>
      <c r="X175" s="17"/>
      <c r="Y175" s="17">
        <v>156640</v>
      </c>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row>
    <row r="176" spans="1:58" x14ac:dyDescent="0.25">
      <c r="A176" s="88" t="s">
        <v>398</v>
      </c>
      <c r="B176" s="17">
        <f>7060+7690</f>
        <v>14750</v>
      </c>
      <c r="C176" s="17"/>
      <c r="D176" s="17"/>
      <c r="E176" s="17">
        <v>62590</v>
      </c>
      <c r="F176" s="17">
        <v>390070</v>
      </c>
      <c r="G176" s="17">
        <v>42320</v>
      </c>
      <c r="H176" s="17">
        <v>16440</v>
      </c>
      <c r="I176" s="17">
        <v>9760</v>
      </c>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v>2117030</v>
      </c>
      <c r="AW176" s="17"/>
      <c r="AX176" s="17"/>
      <c r="AY176" s="17"/>
      <c r="AZ176" s="17"/>
      <c r="BA176" s="17"/>
      <c r="BB176" s="17"/>
      <c r="BC176" s="17"/>
      <c r="BD176" s="17"/>
      <c r="BE176" s="17"/>
      <c r="BF176" s="17"/>
    </row>
    <row r="177" spans="1:58" x14ac:dyDescent="0.25">
      <c r="A177" s="88" t="s">
        <v>399</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v>213000</v>
      </c>
      <c r="AW177" s="17"/>
      <c r="AX177" s="17"/>
      <c r="AY177" s="17"/>
      <c r="AZ177" s="17"/>
      <c r="BA177" s="17"/>
      <c r="BB177" s="17"/>
      <c r="BC177" s="17"/>
      <c r="BD177" s="17"/>
      <c r="BE177" s="17"/>
      <c r="BF177" s="17"/>
    </row>
    <row r="178" spans="1:58" x14ac:dyDescent="0.25">
      <c r="A178" s="88" t="s">
        <v>496</v>
      </c>
      <c r="B178" s="17">
        <v>2560</v>
      </c>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row>
    <row r="179" spans="1:58" ht="30" x14ac:dyDescent="0.25">
      <c r="A179" s="88" t="s">
        <v>489</v>
      </c>
      <c r="B179" s="17">
        <v>18080</v>
      </c>
      <c r="C179" s="17"/>
      <c r="D179" s="17"/>
      <c r="E179" s="17">
        <v>24480</v>
      </c>
      <c r="F179" s="17"/>
      <c r="G179" s="17">
        <v>149080</v>
      </c>
      <c r="H179" s="17">
        <v>58800</v>
      </c>
      <c r="I179" s="17"/>
      <c r="J179" s="17"/>
      <c r="K179" s="17"/>
      <c r="L179" s="17"/>
      <c r="M179" s="17">
        <v>182560</v>
      </c>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row>
    <row r="180" spans="1:58" x14ac:dyDescent="0.25">
      <c r="A180" s="88"/>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row>
    <row r="181" spans="1:58" x14ac:dyDescent="0.25">
      <c r="A181" s="41" t="s">
        <v>843</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v>400000</v>
      </c>
      <c r="AS181" s="17">
        <v>400000</v>
      </c>
      <c r="AT181" s="17"/>
      <c r="AU181" s="17"/>
      <c r="AV181" s="17">
        <v>9143288</v>
      </c>
      <c r="AW181" s="17"/>
      <c r="AX181" s="17">
        <v>1500000</v>
      </c>
      <c r="AY181" s="17">
        <v>1500000</v>
      </c>
      <c r="AZ181" s="17">
        <v>1500000</v>
      </c>
      <c r="BA181" s="17">
        <v>1500000</v>
      </c>
      <c r="BB181" s="17"/>
      <c r="BC181" s="17">
        <v>2000000</v>
      </c>
      <c r="BD181" s="17">
        <v>2000000</v>
      </c>
      <c r="BE181" s="17"/>
      <c r="BF181" s="17"/>
    </row>
    <row r="182" spans="1:58" x14ac:dyDescent="0.25">
      <c r="A182" s="88" t="s">
        <v>500</v>
      </c>
      <c r="B182" s="17"/>
      <c r="C182" s="17"/>
      <c r="D182" s="17"/>
      <c r="E182" s="17">
        <v>160200</v>
      </c>
      <c r="F182" s="17"/>
      <c r="G182" s="17"/>
      <c r="H182" s="17"/>
      <c r="I182" s="17"/>
      <c r="J182" s="17"/>
      <c r="K182" s="17"/>
      <c r="L182" s="17"/>
      <c r="M182" s="17"/>
      <c r="N182" s="17"/>
      <c r="O182" s="17"/>
      <c r="P182" s="17"/>
      <c r="Q182" s="17"/>
      <c r="R182" s="17"/>
      <c r="S182" s="17"/>
      <c r="T182" s="17"/>
      <c r="U182" s="17"/>
      <c r="V182" s="17"/>
      <c r="W182" s="17"/>
      <c r="X182" s="17"/>
      <c r="Y182" s="17">
        <v>38260</v>
      </c>
      <c r="Z182" s="17">
        <v>149900</v>
      </c>
      <c r="AA182" s="17"/>
      <c r="AB182" s="17"/>
      <c r="AC182" s="17"/>
      <c r="AD182" s="17"/>
      <c r="AE182" s="17"/>
      <c r="AF182" s="17"/>
      <c r="AG182" s="17"/>
      <c r="AH182" s="17"/>
      <c r="AI182" s="17"/>
      <c r="AJ182" s="17"/>
      <c r="AK182" s="17"/>
      <c r="AL182" s="17">
        <v>120000</v>
      </c>
      <c r="AM182" s="17"/>
      <c r="AN182" s="17"/>
      <c r="AO182" s="17"/>
      <c r="AP182" s="17"/>
      <c r="AQ182" s="17"/>
      <c r="AR182" s="17"/>
      <c r="AS182" s="17"/>
      <c r="AT182" s="17"/>
      <c r="AU182" s="17"/>
      <c r="AV182" s="17">
        <v>223186</v>
      </c>
      <c r="AW182" s="17"/>
      <c r="AX182" s="17"/>
      <c r="AY182" s="17"/>
      <c r="AZ182" s="17"/>
      <c r="BA182" s="17"/>
      <c r="BB182" s="17"/>
      <c r="BC182" s="17">
        <v>5424456</v>
      </c>
      <c r="BD182" s="17"/>
      <c r="BE182" s="17"/>
      <c r="BF182" s="17"/>
    </row>
    <row r="183" spans="1:58" x14ac:dyDescent="0.25">
      <c r="A183" s="88" t="s">
        <v>162</v>
      </c>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v>4350980</v>
      </c>
      <c r="AD183" s="17"/>
      <c r="AE183" s="17"/>
      <c r="AF183" s="17"/>
      <c r="AG183" s="17"/>
      <c r="AH183" s="17"/>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row>
    <row r="184" spans="1:58" x14ac:dyDescent="0.25">
      <c r="A184" s="82" t="s">
        <v>501</v>
      </c>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v>992250</v>
      </c>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row>
    <row r="185" spans="1:58" ht="15" customHeight="1" x14ac:dyDescent="0.25">
      <c r="A185" s="88" t="s">
        <v>1067</v>
      </c>
      <c r="B185" s="17">
        <v>7980</v>
      </c>
      <c r="C185" s="17"/>
      <c r="D185" s="17"/>
      <c r="E185" s="17">
        <v>6700</v>
      </c>
      <c r="F185" s="17"/>
      <c r="G185" s="17">
        <v>162200</v>
      </c>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row>
    <row r="186" spans="1:58" x14ac:dyDescent="0.25">
      <c r="A186" s="88"/>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row>
    <row r="187" spans="1:58" ht="15" customHeight="1" x14ac:dyDescent="0.25">
      <c r="A187" s="88" t="s">
        <v>1069</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v>346282</v>
      </c>
      <c r="AI187" s="17">
        <v>807370</v>
      </c>
      <c r="AJ187" s="17">
        <v>255050</v>
      </c>
      <c r="AK187" s="17">
        <v>370160</v>
      </c>
      <c r="AL187" s="17"/>
      <c r="AM187" s="17">
        <v>600000</v>
      </c>
      <c r="AN187" s="17"/>
      <c r="AO187" s="17"/>
      <c r="AP187" s="17"/>
      <c r="AQ187" s="17"/>
      <c r="AR187" s="17"/>
      <c r="AS187" s="17"/>
      <c r="AT187" s="17"/>
      <c r="AU187" s="17"/>
      <c r="AV187" s="17"/>
      <c r="AW187" s="17"/>
      <c r="AX187" s="17"/>
      <c r="AY187" s="17"/>
      <c r="AZ187" s="17"/>
      <c r="BA187" s="17"/>
      <c r="BB187" s="17"/>
      <c r="BC187" s="17"/>
      <c r="BD187" s="17"/>
      <c r="BE187" s="17"/>
      <c r="BF187" s="17"/>
    </row>
    <row r="188" spans="1:58" ht="15" customHeight="1" x14ac:dyDescent="0.25">
      <c r="A188" s="88" t="s">
        <v>503</v>
      </c>
      <c r="B188" s="17"/>
      <c r="C188" s="17"/>
      <c r="D188" s="17"/>
      <c r="E188" s="17"/>
      <c r="F188" s="17"/>
      <c r="G188" s="17"/>
      <c r="H188" s="17"/>
      <c r="I188" s="17"/>
      <c r="J188" s="17"/>
      <c r="K188" s="17"/>
      <c r="L188" s="17"/>
      <c r="M188" s="17">
        <v>156412</v>
      </c>
      <c r="N188" s="17"/>
      <c r="O188" s="17"/>
      <c r="P188" s="17"/>
      <c r="Q188" s="17"/>
      <c r="R188" s="17"/>
      <c r="S188" s="17"/>
      <c r="T188" s="17"/>
      <c r="U188" s="17"/>
      <c r="V188" s="17"/>
      <c r="W188" s="17"/>
      <c r="X188" s="17"/>
      <c r="Y188" s="17"/>
      <c r="Z188" s="17"/>
      <c r="AA188" s="17"/>
      <c r="AB188" s="17"/>
      <c r="AC188" s="17"/>
      <c r="AD188" s="17">
        <v>2000000</v>
      </c>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v>7500000</v>
      </c>
      <c r="BA188" s="17">
        <v>7500000</v>
      </c>
      <c r="BB188" s="17"/>
      <c r="BC188" s="17"/>
      <c r="BD188" s="17"/>
      <c r="BE188" s="17"/>
      <c r="BF188" s="17"/>
    </row>
    <row r="189" spans="1:58" ht="15" customHeight="1" x14ac:dyDescent="0.25">
      <c r="A189" s="75" t="s">
        <v>882</v>
      </c>
      <c r="B189" s="17">
        <v>25760</v>
      </c>
      <c r="C189" s="17"/>
      <c r="D189" s="17"/>
      <c r="E189" s="17"/>
      <c r="F189" s="17"/>
      <c r="G189" s="17"/>
      <c r="H189" s="17">
        <v>32400</v>
      </c>
      <c r="I189" s="17"/>
      <c r="J189" s="17"/>
      <c r="K189" s="17">
        <v>12880</v>
      </c>
      <c r="L189" s="17"/>
      <c r="M189" s="17"/>
      <c r="N189" s="17"/>
      <c r="O189" s="17"/>
      <c r="P189" s="17"/>
      <c r="Q189" s="17"/>
      <c r="R189" s="17">
        <f>11200+20000</f>
        <v>31200</v>
      </c>
      <c r="S189" s="17">
        <f>(R189/15)*12</f>
        <v>24960</v>
      </c>
      <c r="T189" s="17"/>
      <c r="U189" s="17">
        <v>5120</v>
      </c>
      <c r="V189" s="17">
        <v>12900</v>
      </c>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row>
    <row r="190" spans="1:58" ht="15" customHeight="1" x14ac:dyDescent="0.25">
      <c r="A190" s="75" t="s">
        <v>883</v>
      </c>
      <c r="B190" s="17"/>
      <c r="C190" s="17"/>
      <c r="D190" s="17"/>
      <c r="E190" s="17"/>
      <c r="F190" s="17"/>
      <c r="G190" s="17"/>
      <c r="H190" s="17"/>
      <c r="I190" s="17"/>
      <c r="J190" s="17"/>
      <c r="K190" s="17"/>
      <c r="L190" s="17"/>
      <c r="M190" s="17"/>
      <c r="N190" s="17"/>
      <c r="O190" s="17"/>
      <c r="P190" s="17"/>
      <c r="Q190" s="17"/>
      <c r="R190" s="17">
        <v>532560</v>
      </c>
      <c r="S190" s="17">
        <f>(R190/15)*12</f>
        <v>426048</v>
      </c>
      <c r="T190" s="17"/>
      <c r="U190" s="17"/>
      <c r="V190" s="17"/>
      <c r="W190" s="17"/>
      <c r="X190" s="17">
        <v>697605</v>
      </c>
      <c r="Y190" s="17"/>
      <c r="Z190" s="17"/>
      <c r="AA190" s="17"/>
      <c r="AB190" s="17"/>
      <c r="AC190" s="17"/>
      <c r="AD190" s="17">
        <v>800000</v>
      </c>
      <c r="AE190" s="17">
        <v>95580</v>
      </c>
      <c r="AF190" s="17"/>
      <c r="AG190" s="17">
        <v>149960</v>
      </c>
      <c r="AH190" s="17"/>
      <c r="AI190" s="17"/>
      <c r="AJ190" s="17"/>
      <c r="AK190" s="17"/>
      <c r="AL190" s="17">
        <v>429718</v>
      </c>
      <c r="AM190" s="17"/>
      <c r="AN190" s="17">
        <v>600000</v>
      </c>
      <c r="AO190" s="17">
        <v>600000</v>
      </c>
      <c r="AP190" s="17"/>
      <c r="AQ190" s="17"/>
      <c r="AR190" s="17">
        <v>600000</v>
      </c>
      <c r="AS190" s="17">
        <v>600000</v>
      </c>
      <c r="AT190" s="17"/>
      <c r="AU190" s="17">
        <v>500000</v>
      </c>
      <c r="AV190" s="17">
        <v>247470</v>
      </c>
      <c r="AW190" s="17">
        <v>1000000</v>
      </c>
      <c r="AX190" s="17"/>
      <c r="AY190" s="17">
        <v>500000</v>
      </c>
      <c r="AZ190" s="17">
        <v>300000</v>
      </c>
      <c r="BA190" s="17">
        <v>300000</v>
      </c>
      <c r="BB190" s="17"/>
      <c r="BC190" s="17"/>
      <c r="BD190" s="17"/>
      <c r="BE190" s="17"/>
      <c r="BF190" s="17"/>
    </row>
    <row r="191" spans="1:58" ht="15" customHeight="1" x14ac:dyDescent="0.25">
      <c r="A191" s="88" t="s">
        <v>943</v>
      </c>
      <c r="B191" s="17"/>
      <c r="C191" s="17"/>
      <c r="D191" s="17"/>
      <c r="E191" s="17"/>
      <c r="F191" s="17"/>
      <c r="G191" s="17">
        <v>14620</v>
      </c>
      <c r="H191" s="17">
        <v>152440</v>
      </c>
      <c r="I191" s="17">
        <v>40000</v>
      </c>
      <c r="J191" s="17"/>
      <c r="K191" s="17">
        <v>194180</v>
      </c>
      <c r="L191" s="17"/>
      <c r="M191" s="17"/>
      <c r="N191" s="17"/>
      <c r="O191" s="17"/>
      <c r="P191" s="17"/>
      <c r="Q191" s="17"/>
      <c r="R191" s="17">
        <v>88700</v>
      </c>
      <c r="S191" s="17">
        <f>(R191/15)*12</f>
        <v>70960</v>
      </c>
      <c r="T191" s="17">
        <v>338380</v>
      </c>
      <c r="U191" s="17">
        <v>109860</v>
      </c>
      <c r="V191" s="17">
        <v>89600</v>
      </c>
      <c r="W191" s="17"/>
      <c r="X191" s="17">
        <v>129590</v>
      </c>
      <c r="Y191" s="17"/>
      <c r="Z191" s="17"/>
      <c r="AA191" s="17"/>
      <c r="AB191" s="17"/>
      <c r="AC191" s="17"/>
      <c r="AD191" s="17"/>
      <c r="AE191" s="17"/>
      <c r="AF191" s="17"/>
      <c r="AG191" s="17"/>
      <c r="AH191" s="17"/>
      <c r="AI191" s="17"/>
      <c r="AJ191" s="17"/>
      <c r="AK191" s="17"/>
      <c r="AL191" s="17">
        <v>299400</v>
      </c>
      <c r="AM191" s="17"/>
      <c r="AN191" s="17"/>
      <c r="AO191" s="17"/>
      <c r="AP191" s="17"/>
      <c r="AQ191" s="17"/>
      <c r="AR191" s="17"/>
      <c r="AS191" s="17"/>
      <c r="AT191" s="17"/>
      <c r="AU191" s="17"/>
      <c r="AV191" s="17"/>
      <c r="AW191" s="17">
        <v>200000</v>
      </c>
      <c r="AX191" s="17">
        <v>200000</v>
      </c>
      <c r="AY191" s="17">
        <v>200000</v>
      </c>
      <c r="AZ191" s="17">
        <v>200000</v>
      </c>
      <c r="BA191" s="17">
        <v>200000</v>
      </c>
      <c r="BB191" s="17"/>
      <c r="BC191" s="17"/>
      <c r="BD191" s="17"/>
      <c r="BE191" s="17"/>
      <c r="BF191" s="17"/>
    </row>
    <row r="192" spans="1:58" ht="15" customHeight="1" x14ac:dyDescent="0.25">
      <c r="A192" s="88" t="s">
        <v>404</v>
      </c>
      <c r="B192" s="17">
        <v>16090</v>
      </c>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row>
    <row r="193" spans="1:58" ht="15" customHeight="1" x14ac:dyDescent="0.25">
      <c r="A193" s="88" t="s">
        <v>502</v>
      </c>
      <c r="B193" s="17">
        <v>10700</v>
      </c>
      <c r="C193" s="17"/>
      <c r="D193" s="17"/>
      <c r="E193" s="17">
        <f>21920+4760</f>
        <v>26680</v>
      </c>
      <c r="F193" s="17"/>
      <c r="G193" s="17">
        <f>32400+11120</f>
        <v>43520</v>
      </c>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row>
    <row r="194" spans="1:58" ht="15" customHeight="1" x14ac:dyDescent="0.25">
      <c r="A194" s="88" t="s">
        <v>164</v>
      </c>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f>500000+300000</f>
        <v>800000</v>
      </c>
      <c r="AV194" s="17">
        <v>1027360</v>
      </c>
      <c r="AW194" s="17">
        <v>400000</v>
      </c>
      <c r="AX194" s="17">
        <v>600000</v>
      </c>
      <c r="AY194" s="17">
        <v>600000</v>
      </c>
      <c r="AZ194" s="17">
        <v>1500000</v>
      </c>
      <c r="BA194" s="17">
        <v>1500000</v>
      </c>
      <c r="BB194" s="17"/>
      <c r="BC194" s="17"/>
      <c r="BD194" s="17"/>
      <c r="BE194" s="17"/>
      <c r="BF194" s="17"/>
    </row>
    <row r="195" spans="1:58" ht="15" customHeight="1" x14ac:dyDescent="0.25">
      <c r="A195" s="88" t="s">
        <v>403</v>
      </c>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v>400000</v>
      </c>
      <c r="AN195" s="17">
        <v>400000</v>
      </c>
      <c r="AO195" s="17"/>
      <c r="AP195" s="17"/>
      <c r="AQ195" s="17"/>
      <c r="AR195" s="17"/>
      <c r="AS195" s="17"/>
      <c r="AT195" s="17"/>
      <c r="AU195" s="17"/>
      <c r="AV195" s="17"/>
      <c r="AW195" s="17"/>
      <c r="AX195" s="17"/>
      <c r="AY195" s="17"/>
      <c r="AZ195" s="17"/>
      <c r="BA195" s="17"/>
      <c r="BB195" s="17"/>
      <c r="BC195" s="17"/>
      <c r="BD195" s="17"/>
      <c r="BE195" s="17"/>
      <c r="BF195" s="17"/>
    </row>
    <row r="196" spans="1:58" ht="15" customHeight="1" x14ac:dyDescent="0.25">
      <c r="A196" s="88"/>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row>
    <row r="197" spans="1:58" x14ac:dyDescent="0.25">
      <c r="A197" s="88" t="s">
        <v>402</v>
      </c>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f>10000000+1000000+600000+400000+400000+400000+600000</f>
        <v>13400000</v>
      </c>
      <c r="BD197" s="17">
        <f>10000000+1000000+600000+400000+400000+400000+600000</f>
        <v>13400000</v>
      </c>
      <c r="BE197" s="17"/>
      <c r="BF197" s="17"/>
    </row>
    <row r="198" spans="1:58" x14ac:dyDescent="0.25">
      <c r="A198" s="88" t="s">
        <v>504</v>
      </c>
      <c r="B198" s="17"/>
      <c r="C198" s="17"/>
      <c r="D198" s="17"/>
      <c r="E198" s="17"/>
      <c r="F198" s="17"/>
      <c r="G198" s="17"/>
      <c r="H198" s="17"/>
      <c r="I198" s="17">
        <v>17540</v>
      </c>
      <c r="J198" s="17">
        <v>939620</v>
      </c>
      <c r="K198" s="17"/>
      <c r="L198" s="17"/>
      <c r="M198" s="17">
        <v>23027</v>
      </c>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v>1500000</v>
      </c>
      <c r="AN198" s="17">
        <v>1000000</v>
      </c>
      <c r="AO198" s="17">
        <v>1000000</v>
      </c>
      <c r="AP198" s="17"/>
      <c r="AQ198" s="17"/>
      <c r="AR198" s="17"/>
      <c r="AS198" s="17"/>
      <c r="AT198" s="17"/>
      <c r="AU198" s="17">
        <v>2000000</v>
      </c>
      <c r="AV198" s="17">
        <v>67400</v>
      </c>
      <c r="AW198" s="17">
        <v>2000000</v>
      </c>
      <c r="AX198" s="17">
        <v>1000000</v>
      </c>
      <c r="AY198" s="17">
        <v>1000000</v>
      </c>
      <c r="AZ198" s="17"/>
      <c r="BA198" s="17"/>
      <c r="BB198" s="17"/>
      <c r="BC198" s="17"/>
      <c r="BD198" s="17"/>
      <c r="BE198" s="17"/>
      <c r="BF198" s="17"/>
    </row>
    <row r="199" spans="1:58" x14ac:dyDescent="0.25">
      <c r="A199" s="88" t="s">
        <v>424</v>
      </c>
      <c r="B199" s="17">
        <v>13958</v>
      </c>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row>
    <row r="200" spans="1:58" x14ac:dyDescent="0.25">
      <c r="A200" s="88" t="s">
        <v>405</v>
      </c>
      <c r="B200" s="17"/>
      <c r="C200" s="17"/>
      <c r="D200" s="17"/>
      <c r="E200" s="17"/>
      <c r="F200" s="13">
        <v>1115057</v>
      </c>
      <c r="G200" s="17"/>
      <c r="H200" s="17"/>
      <c r="I200" s="17"/>
      <c r="J200" s="17">
        <f>1729591-1088207</f>
        <v>641384</v>
      </c>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row>
    <row r="201" spans="1:58" x14ac:dyDescent="0.25">
      <c r="A201" s="88"/>
      <c r="B201" s="17"/>
      <c r="C201" s="17"/>
      <c r="D201" s="17"/>
      <c r="E201" s="17"/>
      <c r="F201" s="13"/>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row>
    <row r="202" spans="1:58" ht="15" customHeight="1" x14ac:dyDescent="0.25">
      <c r="A202" s="88" t="s">
        <v>944</v>
      </c>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c r="AW202" s="17"/>
      <c r="AX202" s="17"/>
      <c r="AY202" s="17"/>
      <c r="AZ202" s="17">
        <v>17226820</v>
      </c>
      <c r="BA202" s="17"/>
      <c r="BB202" s="17"/>
      <c r="BC202" s="17">
        <v>43383400</v>
      </c>
      <c r="BD202" s="17"/>
      <c r="BE202" s="17"/>
      <c r="BF202" s="17"/>
    </row>
    <row r="203" spans="1:58" ht="15" customHeight="1" x14ac:dyDescent="0.25">
      <c r="A203" s="88" t="s">
        <v>508</v>
      </c>
      <c r="B203" s="17">
        <v>18018</v>
      </c>
      <c r="C203" s="17"/>
      <c r="D203" s="17"/>
      <c r="E203" s="17">
        <v>53304</v>
      </c>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row>
    <row r="204" spans="1:58" ht="15" customHeight="1" x14ac:dyDescent="0.25">
      <c r="A204" s="88" t="s">
        <v>406</v>
      </c>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c r="AV204" s="17"/>
      <c r="AW204" s="17"/>
      <c r="AX204" s="17"/>
      <c r="AY204" s="17"/>
      <c r="AZ204" s="17"/>
      <c r="BA204" s="17">
        <v>32222470</v>
      </c>
      <c r="BB204" s="17"/>
      <c r="BC204" s="17"/>
      <c r="BD204" s="17"/>
      <c r="BE204" s="17"/>
      <c r="BF204" s="17"/>
    </row>
    <row r="205" spans="1:58" ht="15" customHeight="1" x14ac:dyDescent="0.25">
      <c r="A205" s="88" t="s">
        <v>1070</v>
      </c>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c r="AV205" s="17"/>
      <c r="AW205" s="17"/>
      <c r="AX205" s="17">
        <v>785170</v>
      </c>
      <c r="AY205" s="17"/>
      <c r="AZ205" s="17"/>
      <c r="BA205" s="17"/>
      <c r="BB205" s="17"/>
      <c r="BC205" s="17"/>
      <c r="BD205" s="17"/>
      <c r="BE205" s="17"/>
      <c r="BF205" s="17"/>
    </row>
    <row r="206" spans="1:58" ht="15" customHeight="1" x14ac:dyDescent="0.25">
      <c r="A206" s="88" t="s">
        <v>408</v>
      </c>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c r="AV206" s="17"/>
      <c r="AW206" s="17"/>
      <c r="AX206" s="17"/>
      <c r="AY206" s="17"/>
      <c r="AZ206" s="17"/>
      <c r="BA206" s="17"/>
      <c r="BB206" s="17"/>
      <c r="BC206" s="17">
        <v>38593680</v>
      </c>
      <c r="BD206" s="17">
        <v>45200000</v>
      </c>
      <c r="BE206" s="17"/>
      <c r="BF206" s="17"/>
    </row>
    <row r="207" spans="1:58" ht="15" customHeight="1" x14ac:dyDescent="0.25">
      <c r="A207" s="88" t="s">
        <v>407</v>
      </c>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v>5000000</v>
      </c>
      <c r="AS207" s="17">
        <v>5000000</v>
      </c>
      <c r="AT207" s="17"/>
      <c r="AU207" s="17">
        <v>9500000</v>
      </c>
      <c r="AV207" s="17">
        <v>5000000</v>
      </c>
      <c r="AW207" s="17">
        <v>8000000</v>
      </c>
      <c r="AX207" s="17">
        <v>6300000</v>
      </c>
      <c r="AY207" s="17">
        <v>9100000</v>
      </c>
      <c r="AZ207" s="17">
        <v>8000000</v>
      </c>
      <c r="BA207" s="17">
        <v>10920000</v>
      </c>
      <c r="BB207" s="17"/>
      <c r="BC207" s="17"/>
      <c r="BD207" s="17"/>
      <c r="BE207" s="17"/>
      <c r="BF207" s="17"/>
    </row>
    <row r="208" spans="1:58" ht="15" customHeight="1" x14ac:dyDescent="0.25">
      <c r="A208" s="88" t="s">
        <v>507</v>
      </c>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7"/>
      <c r="AV208" s="17"/>
      <c r="AW208" s="17"/>
      <c r="AX208" s="17"/>
      <c r="AY208" s="17"/>
      <c r="AZ208" s="17"/>
      <c r="BA208" s="17"/>
      <c r="BB208" s="17"/>
      <c r="BC208" s="17">
        <v>20000000</v>
      </c>
      <c r="BD208" s="17">
        <v>20000000</v>
      </c>
      <c r="BE208" s="17"/>
      <c r="BF208" s="17"/>
    </row>
    <row r="209" spans="1:61" ht="15" customHeight="1" x14ac:dyDescent="0.25">
      <c r="A209" s="88" t="s">
        <v>506</v>
      </c>
      <c r="B209" s="17"/>
      <c r="C209" s="17"/>
      <c r="D209" s="17"/>
      <c r="E209" s="17"/>
      <c r="F209" s="17"/>
      <c r="G209" s="17"/>
      <c r="H209" s="17"/>
      <c r="I209" s="17"/>
      <c r="J209" s="17"/>
      <c r="K209" s="17"/>
      <c r="L209" s="17"/>
      <c r="M209" s="17"/>
      <c r="N209" s="17"/>
      <c r="O209" s="17"/>
      <c r="P209" s="17"/>
      <c r="Q209" s="17"/>
      <c r="R209" s="17">
        <v>340560</v>
      </c>
      <c r="S209" s="17">
        <f>(R209/15)*12</f>
        <v>272448</v>
      </c>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row>
    <row r="210" spans="1:61" ht="15" customHeight="1" x14ac:dyDescent="0.25">
      <c r="A210" s="82" t="s">
        <v>505</v>
      </c>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v>3000000</v>
      </c>
      <c r="AM210" s="17"/>
      <c r="AN210" s="17"/>
      <c r="AO210" s="17"/>
      <c r="AP210" s="17"/>
      <c r="AQ210" s="17"/>
      <c r="AR210" s="17"/>
      <c r="AS210" s="17"/>
      <c r="AT210" s="17"/>
      <c r="AU210" s="17"/>
      <c r="AV210" s="17"/>
      <c r="AW210" s="17"/>
      <c r="AX210" s="17"/>
      <c r="AY210" s="17"/>
      <c r="AZ210" s="17"/>
      <c r="BA210" s="17"/>
      <c r="BB210" s="17"/>
      <c r="BC210" s="17"/>
      <c r="BD210" s="17"/>
      <c r="BE210" s="17"/>
      <c r="BF210" s="17"/>
    </row>
    <row r="211" spans="1:61" x14ac:dyDescent="0.25">
      <c r="A211" s="88"/>
      <c r="B211" s="17"/>
      <c r="C211" s="17"/>
      <c r="D211" s="17"/>
      <c r="E211" s="17"/>
      <c r="F211" s="13"/>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row>
    <row r="212" spans="1:61" x14ac:dyDescent="0.25">
      <c r="A212" s="88"/>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7"/>
      <c r="AV212" s="17"/>
      <c r="AW212" s="17"/>
      <c r="AX212" s="17"/>
      <c r="AY212" s="17"/>
      <c r="AZ212" s="17"/>
      <c r="BA212" s="17"/>
      <c r="BB212" s="17"/>
      <c r="BC212" s="17"/>
      <c r="BD212" s="17"/>
      <c r="BE212" s="17"/>
      <c r="BF212" s="17"/>
    </row>
    <row r="213" spans="1:61" x14ac:dyDescent="0.25">
      <c r="A213" s="89" t="s">
        <v>137</v>
      </c>
      <c r="B213" s="28">
        <f t="shared" ref="B213:AG213" si="5">SUM(B110:B212)</f>
        <v>1114638</v>
      </c>
      <c r="C213" s="28">
        <f t="shared" si="5"/>
        <v>0</v>
      </c>
      <c r="D213" s="28">
        <f t="shared" si="5"/>
        <v>0</v>
      </c>
      <c r="E213" s="28">
        <f t="shared" si="5"/>
        <v>1584799</v>
      </c>
      <c r="F213" s="28">
        <f t="shared" si="5"/>
        <v>2106719</v>
      </c>
      <c r="G213" s="28">
        <f t="shared" si="5"/>
        <v>1192346</v>
      </c>
      <c r="H213" s="28">
        <f t="shared" si="5"/>
        <v>1461307</v>
      </c>
      <c r="I213" s="28">
        <f t="shared" si="5"/>
        <v>994057</v>
      </c>
      <c r="J213" s="28">
        <f t="shared" si="5"/>
        <v>1729591</v>
      </c>
      <c r="K213" s="28">
        <f t="shared" si="5"/>
        <v>1638586</v>
      </c>
      <c r="L213" s="28">
        <f t="shared" si="5"/>
        <v>0</v>
      </c>
      <c r="M213" s="28">
        <f t="shared" si="5"/>
        <v>2043307</v>
      </c>
      <c r="N213" s="28">
        <f t="shared" si="5"/>
        <v>0</v>
      </c>
      <c r="O213" s="28">
        <f t="shared" si="5"/>
        <v>0</v>
      </c>
      <c r="P213" s="28">
        <f t="shared" si="5"/>
        <v>0</v>
      </c>
      <c r="Q213" s="28">
        <f t="shared" si="5"/>
        <v>0</v>
      </c>
      <c r="R213" s="28">
        <f t="shared" si="5"/>
        <v>3602596</v>
      </c>
      <c r="S213" s="28">
        <f t="shared" si="5"/>
        <v>2789619.2</v>
      </c>
      <c r="T213" s="28">
        <f t="shared" si="5"/>
        <v>1820991</v>
      </c>
      <c r="U213" s="28">
        <f t="shared" si="5"/>
        <v>1427059</v>
      </c>
      <c r="V213" s="28">
        <f t="shared" si="5"/>
        <v>1385270</v>
      </c>
      <c r="W213" s="28">
        <f t="shared" si="5"/>
        <v>0</v>
      </c>
      <c r="X213" s="28">
        <f t="shared" si="5"/>
        <v>2811902</v>
      </c>
      <c r="Y213" s="28">
        <f t="shared" si="5"/>
        <v>4118326</v>
      </c>
      <c r="Z213" s="28">
        <f t="shared" si="5"/>
        <v>8884836</v>
      </c>
      <c r="AA213" s="28">
        <f t="shared" si="5"/>
        <v>0</v>
      </c>
      <c r="AB213" s="28">
        <f t="shared" si="5"/>
        <v>0</v>
      </c>
      <c r="AC213" s="28">
        <f t="shared" si="5"/>
        <v>14617163</v>
      </c>
      <c r="AD213" s="28">
        <f t="shared" si="5"/>
        <v>15410000</v>
      </c>
      <c r="AE213" s="28">
        <f t="shared" si="5"/>
        <v>17970810</v>
      </c>
      <c r="AF213" s="28">
        <f t="shared" si="5"/>
        <v>0</v>
      </c>
      <c r="AG213" s="28">
        <f t="shared" si="5"/>
        <v>21711973</v>
      </c>
      <c r="AH213" s="28">
        <f t="shared" ref="AH213:BM213" si="6">SUM(AH110:AH212)</f>
        <v>28259880</v>
      </c>
      <c r="AI213" s="28">
        <f t="shared" si="6"/>
        <v>38289036</v>
      </c>
      <c r="AJ213" s="28">
        <f t="shared" si="6"/>
        <v>22185093</v>
      </c>
      <c r="AK213" s="28">
        <f t="shared" si="6"/>
        <v>41686606</v>
      </c>
      <c r="AL213" s="28">
        <f t="shared" si="6"/>
        <v>32299400</v>
      </c>
      <c r="AM213" s="28">
        <f t="shared" si="6"/>
        <v>28499000</v>
      </c>
      <c r="AN213" s="28">
        <f t="shared" si="6"/>
        <v>31413000</v>
      </c>
      <c r="AO213" s="28">
        <f t="shared" si="6"/>
        <v>49750000</v>
      </c>
      <c r="AP213" s="28">
        <f t="shared" si="6"/>
        <v>0</v>
      </c>
      <c r="AQ213" s="28">
        <f t="shared" si="6"/>
        <v>0</v>
      </c>
      <c r="AR213" s="28">
        <f t="shared" si="6"/>
        <v>42012000</v>
      </c>
      <c r="AS213" s="28">
        <f t="shared" si="6"/>
        <v>42020000</v>
      </c>
      <c r="AT213" s="28">
        <f t="shared" si="6"/>
        <v>0</v>
      </c>
      <c r="AU213" s="28">
        <f t="shared" si="6"/>
        <v>76000000</v>
      </c>
      <c r="AV213" s="28">
        <f t="shared" si="6"/>
        <v>105957804</v>
      </c>
      <c r="AW213" s="28">
        <f t="shared" si="6"/>
        <v>108110000</v>
      </c>
      <c r="AX213" s="28">
        <f t="shared" si="6"/>
        <v>110200000</v>
      </c>
      <c r="AY213" s="28">
        <f t="shared" si="6"/>
        <v>116300000</v>
      </c>
      <c r="AZ213" s="28">
        <f t="shared" si="6"/>
        <v>155678852</v>
      </c>
      <c r="BA213" s="28">
        <f t="shared" si="6"/>
        <v>202186470</v>
      </c>
      <c r="BB213" s="28">
        <f t="shared" si="6"/>
        <v>0</v>
      </c>
      <c r="BC213" s="28">
        <f t="shared" si="6"/>
        <v>281418136</v>
      </c>
      <c r="BD213" s="28">
        <f t="shared" si="6"/>
        <v>224242600</v>
      </c>
      <c r="BE213" s="28">
        <f t="shared" si="6"/>
        <v>0</v>
      </c>
      <c r="BF213" s="28">
        <f t="shared" si="6"/>
        <v>0</v>
      </c>
    </row>
    <row r="214" spans="1:61" x14ac:dyDescent="0.25">
      <c r="A214" s="89"/>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c r="AU214" s="28"/>
      <c r="AV214" s="28"/>
      <c r="AW214" s="28"/>
      <c r="AX214" s="28"/>
      <c r="AY214" s="28"/>
      <c r="AZ214" s="28"/>
      <c r="BA214" s="28"/>
      <c r="BB214" s="28"/>
      <c r="BC214" s="28"/>
      <c r="BD214" s="28"/>
      <c r="BE214" s="28"/>
      <c r="BF214" s="28"/>
    </row>
    <row r="215" spans="1:61" x14ac:dyDescent="0.25">
      <c r="A215" s="89" t="s">
        <v>621</v>
      </c>
      <c r="B215" s="28">
        <f>B213</f>
        <v>1114638</v>
      </c>
      <c r="C215" s="28"/>
      <c r="D215" s="28"/>
      <c r="E215" s="28">
        <f t="shared" ref="E215:BD215" si="7">E213</f>
        <v>1584799</v>
      </c>
      <c r="F215" s="28">
        <f t="shared" si="7"/>
        <v>2106719</v>
      </c>
      <c r="G215" s="28">
        <f t="shared" si="7"/>
        <v>1192346</v>
      </c>
      <c r="H215" s="28">
        <f t="shared" si="7"/>
        <v>1461307</v>
      </c>
      <c r="I215" s="28">
        <f t="shared" si="7"/>
        <v>994057</v>
      </c>
      <c r="J215" s="28">
        <f t="shared" si="7"/>
        <v>1729591</v>
      </c>
      <c r="K215" s="28">
        <f t="shared" si="7"/>
        <v>1638586</v>
      </c>
      <c r="L215" s="28">
        <f t="shared" si="7"/>
        <v>0</v>
      </c>
      <c r="M215" s="28">
        <f t="shared" si="7"/>
        <v>2043307</v>
      </c>
      <c r="N215" s="28">
        <f t="shared" si="7"/>
        <v>0</v>
      </c>
      <c r="O215" s="28">
        <f t="shared" si="7"/>
        <v>0</v>
      </c>
      <c r="P215" s="28">
        <f t="shared" si="7"/>
        <v>0</v>
      </c>
      <c r="Q215" s="28">
        <f t="shared" si="7"/>
        <v>0</v>
      </c>
      <c r="R215" s="28">
        <f t="shared" si="7"/>
        <v>3602596</v>
      </c>
      <c r="S215" s="28">
        <f t="shared" si="7"/>
        <v>2789619.2</v>
      </c>
      <c r="T215" s="28">
        <f t="shared" si="7"/>
        <v>1820991</v>
      </c>
      <c r="U215" s="28">
        <f t="shared" si="7"/>
        <v>1427059</v>
      </c>
      <c r="V215" s="28">
        <f t="shared" si="7"/>
        <v>1385270</v>
      </c>
      <c r="W215" s="28">
        <f t="shared" si="7"/>
        <v>0</v>
      </c>
      <c r="X215" s="28">
        <f t="shared" si="7"/>
        <v>2811902</v>
      </c>
      <c r="Y215" s="28">
        <f t="shared" si="7"/>
        <v>4118326</v>
      </c>
      <c r="Z215" s="28">
        <f t="shared" si="7"/>
        <v>8884836</v>
      </c>
      <c r="AA215" s="28">
        <f t="shared" si="7"/>
        <v>0</v>
      </c>
      <c r="AB215" s="28">
        <f t="shared" si="7"/>
        <v>0</v>
      </c>
      <c r="AC215" s="28">
        <f t="shared" si="7"/>
        <v>14617163</v>
      </c>
      <c r="AD215" s="28">
        <f t="shared" si="7"/>
        <v>15410000</v>
      </c>
      <c r="AE215" s="28">
        <f t="shared" si="7"/>
        <v>17970810</v>
      </c>
      <c r="AF215" s="28">
        <f t="shared" si="7"/>
        <v>0</v>
      </c>
      <c r="AG215" s="28">
        <f t="shared" si="7"/>
        <v>21711973</v>
      </c>
      <c r="AH215" s="28">
        <f t="shared" si="7"/>
        <v>28259880</v>
      </c>
      <c r="AI215" s="28">
        <f t="shared" si="7"/>
        <v>38289036</v>
      </c>
      <c r="AJ215" s="28">
        <f t="shared" si="7"/>
        <v>22185093</v>
      </c>
      <c r="AK215" s="28">
        <f t="shared" si="7"/>
        <v>41686606</v>
      </c>
      <c r="AL215" s="28">
        <f t="shared" si="7"/>
        <v>32299400</v>
      </c>
      <c r="AM215" s="28">
        <f t="shared" si="7"/>
        <v>28499000</v>
      </c>
      <c r="AN215" s="28">
        <f t="shared" si="7"/>
        <v>31413000</v>
      </c>
      <c r="AO215" s="28">
        <f t="shared" si="7"/>
        <v>49750000</v>
      </c>
      <c r="AP215" s="28">
        <f t="shared" si="7"/>
        <v>0</v>
      </c>
      <c r="AQ215" s="28">
        <f t="shared" si="7"/>
        <v>0</v>
      </c>
      <c r="AR215" s="28">
        <f t="shared" si="7"/>
        <v>42012000</v>
      </c>
      <c r="AS215" s="28">
        <f t="shared" si="7"/>
        <v>42020000</v>
      </c>
      <c r="AT215" s="28">
        <f t="shared" si="7"/>
        <v>0</v>
      </c>
      <c r="AU215" s="28">
        <f t="shared" si="7"/>
        <v>76000000</v>
      </c>
      <c r="AV215" s="28">
        <f t="shared" si="7"/>
        <v>105957804</v>
      </c>
      <c r="AW215" s="28">
        <f t="shared" si="7"/>
        <v>108110000</v>
      </c>
      <c r="AX215" s="28">
        <f t="shared" si="7"/>
        <v>110200000</v>
      </c>
      <c r="AY215" s="28">
        <f t="shared" si="7"/>
        <v>116300000</v>
      </c>
      <c r="AZ215" s="28">
        <f t="shared" si="7"/>
        <v>155678852</v>
      </c>
      <c r="BA215" s="28">
        <f t="shared" si="7"/>
        <v>202186470</v>
      </c>
      <c r="BB215" s="28">
        <f t="shared" si="7"/>
        <v>0</v>
      </c>
      <c r="BC215" s="28">
        <f t="shared" si="7"/>
        <v>281418136</v>
      </c>
      <c r="BD215" s="28">
        <f t="shared" si="7"/>
        <v>224242600</v>
      </c>
      <c r="BE215" s="28"/>
      <c r="BF215" s="28"/>
    </row>
    <row r="216" spans="1:61" x14ac:dyDescent="0.25">
      <c r="A216" s="89"/>
      <c r="B216" s="28"/>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c r="BA216" s="28"/>
      <c r="BB216" s="28"/>
      <c r="BC216" s="28"/>
      <c r="BD216" s="28"/>
      <c r="BE216" s="28"/>
      <c r="BF216" s="28"/>
    </row>
    <row r="217" spans="1:61" x14ac:dyDescent="0.25">
      <c r="A217" s="90" t="s">
        <v>622</v>
      </c>
      <c r="B217" s="28">
        <f>B98</f>
        <v>1149370</v>
      </c>
      <c r="C217" s="28"/>
      <c r="D217" s="28"/>
      <c r="E217" s="28">
        <f t="shared" ref="E217:AJ217" si="8">E98</f>
        <v>1465380</v>
      </c>
      <c r="F217" s="28">
        <f t="shared" si="8"/>
        <v>1077170</v>
      </c>
      <c r="G217" s="28">
        <f t="shared" si="8"/>
        <v>1219920</v>
      </c>
      <c r="H217" s="28">
        <f t="shared" si="8"/>
        <v>726060</v>
      </c>
      <c r="I217" s="28">
        <f t="shared" si="8"/>
        <v>908810</v>
      </c>
      <c r="J217" s="28">
        <f t="shared" si="8"/>
        <v>1674350</v>
      </c>
      <c r="K217" s="28">
        <f t="shared" si="8"/>
        <v>1665959</v>
      </c>
      <c r="L217" s="28">
        <f t="shared" si="8"/>
        <v>0</v>
      </c>
      <c r="M217" s="28">
        <f t="shared" si="8"/>
        <v>1924067</v>
      </c>
      <c r="N217" s="28">
        <f t="shared" si="8"/>
        <v>0</v>
      </c>
      <c r="O217" s="28">
        <f t="shared" si="8"/>
        <v>0</v>
      </c>
      <c r="P217" s="28">
        <f t="shared" si="8"/>
        <v>0</v>
      </c>
      <c r="Q217" s="28">
        <f t="shared" si="8"/>
        <v>0</v>
      </c>
      <c r="R217" s="28">
        <f t="shared" si="8"/>
        <v>1989204</v>
      </c>
      <c r="S217" s="28">
        <f t="shared" si="8"/>
        <v>1591363.2</v>
      </c>
      <c r="T217" s="28">
        <f t="shared" si="8"/>
        <v>1801869</v>
      </c>
      <c r="U217" s="28">
        <f t="shared" si="8"/>
        <v>1778600</v>
      </c>
      <c r="V217" s="28">
        <f t="shared" si="8"/>
        <v>2270827</v>
      </c>
      <c r="W217" s="28">
        <f t="shared" si="8"/>
        <v>0</v>
      </c>
      <c r="X217" s="28">
        <f t="shared" si="8"/>
        <v>3395488</v>
      </c>
      <c r="Y217" s="28">
        <f t="shared" si="8"/>
        <v>4841358</v>
      </c>
      <c r="Z217" s="28">
        <f t="shared" si="8"/>
        <v>9690799</v>
      </c>
      <c r="AA217" s="28">
        <f t="shared" si="8"/>
        <v>0</v>
      </c>
      <c r="AB217" s="28">
        <f t="shared" si="8"/>
        <v>0</v>
      </c>
      <c r="AC217" s="28">
        <f t="shared" si="8"/>
        <v>15385000</v>
      </c>
      <c r="AD217" s="28">
        <f t="shared" si="8"/>
        <v>15410000</v>
      </c>
      <c r="AE217" s="28">
        <f t="shared" si="8"/>
        <v>19053623</v>
      </c>
      <c r="AF217" s="28">
        <f t="shared" si="8"/>
        <v>0</v>
      </c>
      <c r="AG217" s="28">
        <f t="shared" si="8"/>
        <v>25661337</v>
      </c>
      <c r="AH217" s="28">
        <f t="shared" si="8"/>
        <v>31590831</v>
      </c>
      <c r="AI217" s="28">
        <f t="shared" si="8"/>
        <v>30428970</v>
      </c>
      <c r="AJ217" s="28">
        <f t="shared" si="8"/>
        <v>35337978</v>
      </c>
      <c r="AK217" s="28">
        <f t="shared" ref="AK217:BD217" si="9">AK98</f>
        <v>29055790</v>
      </c>
      <c r="AL217" s="28">
        <f t="shared" si="9"/>
        <v>33635365</v>
      </c>
      <c r="AM217" s="28">
        <f t="shared" si="9"/>
        <v>28499000</v>
      </c>
      <c r="AN217" s="28">
        <f t="shared" si="9"/>
        <v>31413000</v>
      </c>
      <c r="AO217" s="28">
        <f t="shared" si="9"/>
        <v>49650000</v>
      </c>
      <c r="AP217" s="28">
        <f t="shared" si="9"/>
        <v>0</v>
      </c>
      <c r="AQ217" s="28">
        <f t="shared" si="9"/>
        <v>0</v>
      </c>
      <c r="AR217" s="28">
        <f t="shared" si="9"/>
        <v>42012000</v>
      </c>
      <c r="AS217" s="28">
        <f t="shared" si="9"/>
        <v>42020000</v>
      </c>
      <c r="AT217" s="28">
        <f t="shared" si="9"/>
        <v>0</v>
      </c>
      <c r="AU217" s="28">
        <f t="shared" si="9"/>
        <v>76000000</v>
      </c>
      <c r="AV217" s="28">
        <f t="shared" si="9"/>
        <v>125266687</v>
      </c>
      <c r="AW217" s="28">
        <f t="shared" si="9"/>
        <v>108100000</v>
      </c>
      <c r="AX217" s="28">
        <f t="shared" si="9"/>
        <v>110200000</v>
      </c>
      <c r="AY217" s="28">
        <f t="shared" si="9"/>
        <v>116300000</v>
      </c>
      <c r="AZ217" s="28">
        <f t="shared" si="9"/>
        <v>119800000</v>
      </c>
      <c r="BA217" s="28">
        <f t="shared" si="9"/>
        <v>202186470</v>
      </c>
      <c r="BB217" s="28">
        <f t="shared" si="9"/>
        <v>0</v>
      </c>
      <c r="BC217" s="28">
        <f t="shared" si="9"/>
        <v>281418136</v>
      </c>
      <c r="BD217" s="28">
        <f t="shared" si="9"/>
        <v>224242600</v>
      </c>
      <c r="BE217" s="28"/>
      <c r="BF217" s="28"/>
    </row>
    <row r="218" spans="1:61" x14ac:dyDescent="0.25">
      <c r="A218" s="89"/>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c r="BE218" s="28"/>
      <c r="BF218" s="28"/>
    </row>
    <row r="219" spans="1:61" x14ac:dyDescent="0.25">
      <c r="A219" s="89" t="s">
        <v>623</v>
      </c>
      <c r="B219" s="44">
        <f>B217-B215</f>
        <v>34732</v>
      </c>
      <c r="C219" s="44"/>
      <c r="D219" s="44"/>
      <c r="E219" s="44">
        <f t="shared" ref="E219:BD219" si="10">E217-E215</f>
        <v>-119419</v>
      </c>
      <c r="F219" s="44">
        <f t="shared" si="10"/>
        <v>-1029549</v>
      </c>
      <c r="G219" s="44">
        <f t="shared" si="10"/>
        <v>27574</v>
      </c>
      <c r="H219" s="44">
        <f t="shared" si="10"/>
        <v>-735247</v>
      </c>
      <c r="I219" s="44">
        <f t="shared" si="10"/>
        <v>-85247</v>
      </c>
      <c r="J219" s="44">
        <f t="shared" si="10"/>
        <v>-55241</v>
      </c>
      <c r="K219" s="44">
        <f t="shared" si="10"/>
        <v>27373</v>
      </c>
      <c r="L219" s="44">
        <f t="shared" si="10"/>
        <v>0</v>
      </c>
      <c r="M219" s="44">
        <f t="shared" si="10"/>
        <v>-119240</v>
      </c>
      <c r="N219" s="44">
        <f t="shared" si="10"/>
        <v>0</v>
      </c>
      <c r="O219" s="44">
        <f t="shared" si="10"/>
        <v>0</v>
      </c>
      <c r="P219" s="44">
        <f t="shared" si="10"/>
        <v>0</v>
      </c>
      <c r="Q219" s="44">
        <f t="shared" si="10"/>
        <v>0</v>
      </c>
      <c r="R219" s="44">
        <f t="shared" si="10"/>
        <v>-1613392</v>
      </c>
      <c r="S219" s="44">
        <f t="shared" si="10"/>
        <v>-1198256.0000000002</v>
      </c>
      <c r="T219" s="44">
        <f t="shared" si="10"/>
        <v>-19122</v>
      </c>
      <c r="U219" s="44">
        <f t="shared" si="10"/>
        <v>351541</v>
      </c>
      <c r="V219" s="44">
        <f t="shared" si="10"/>
        <v>885557</v>
      </c>
      <c r="W219" s="44">
        <f t="shared" si="10"/>
        <v>0</v>
      </c>
      <c r="X219" s="44">
        <f t="shared" si="10"/>
        <v>583586</v>
      </c>
      <c r="Y219" s="44">
        <f t="shared" si="10"/>
        <v>723032</v>
      </c>
      <c r="Z219" s="44">
        <f t="shared" si="10"/>
        <v>805963</v>
      </c>
      <c r="AA219" s="44">
        <f t="shared" si="10"/>
        <v>0</v>
      </c>
      <c r="AB219" s="44">
        <f t="shared" si="10"/>
        <v>0</v>
      </c>
      <c r="AC219" s="44">
        <f t="shared" si="10"/>
        <v>767837</v>
      </c>
      <c r="AD219" s="44">
        <f t="shared" si="10"/>
        <v>0</v>
      </c>
      <c r="AE219" s="44">
        <f t="shared" si="10"/>
        <v>1082813</v>
      </c>
      <c r="AF219" s="44">
        <f t="shared" si="10"/>
        <v>0</v>
      </c>
      <c r="AG219" s="44">
        <f t="shared" si="10"/>
        <v>3949364</v>
      </c>
      <c r="AH219" s="44">
        <f t="shared" si="10"/>
        <v>3330951</v>
      </c>
      <c r="AI219" s="44">
        <f t="shared" si="10"/>
        <v>-7860066</v>
      </c>
      <c r="AJ219" s="44">
        <f t="shared" si="10"/>
        <v>13152885</v>
      </c>
      <c r="AK219" s="44">
        <f t="shared" si="10"/>
        <v>-12630816</v>
      </c>
      <c r="AL219" s="44">
        <f t="shared" si="10"/>
        <v>1335965</v>
      </c>
      <c r="AM219" s="44">
        <f t="shared" si="10"/>
        <v>0</v>
      </c>
      <c r="AN219" s="44">
        <f t="shared" si="10"/>
        <v>0</v>
      </c>
      <c r="AO219" s="44">
        <f t="shared" si="10"/>
        <v>-100000</v>
      </c>
      <c r="AP219" s="44">
        <f t="shared" si="10"/>
        <v>0</v>
      </c>
      <c r="AQ219" s="44">
        <f t="shared" si="10"/>
        <v>0</v>
      </c>
      <c r="AR219" s="44">
        <f t="shared" si="10"/>
        <v>0</v>
      </c>
      <c r="AS219" s="44">
        <f t="shared" si="10"/>
        <v>0</v>
      </c>
      <c r="AT219" s="44">
        <f t="shared" si="10"/>
        <v>0</v>
      </c>
      <c r="AU219" s="44">
        <f t="shared" si="10"/>
        <v>0</v>
      </c>
      <c r="AV219" s="44">
        <f t="shared" si="10"/>
        <v>19308883</v>
      </c>
      <c r="AW219" s="44">
        <f t="shared" si="10"/>
        <v>-10000</v>
      </c>
      <c r="AX219" s="44">
        <f t="shared" si="10"/>
        <v>0</v>
      </c>
      <c r="AY219" s="44">
        <f t="shared" si="10"/>
        <v>0</v>
      </c>
      <c r="AZ219" s="44">
        <f t="shared" si="10"/>
        <v>-35878852</v>
      </c>
      <c r="BA219" s="44">
        <f t="shared" si="10"/>
        <v>0</v>
      </c>
      <c r="BB219" s="44">
        <f t="shared" si="10"/>
        <v>0</v>
      </c>
      <c r="BC219" s="44">
        <f t="shared" si="10"/>
        <v>0</v>
      </c>
      <c r="BD219" s="44">
        <f t="shared" si="10"/>
        <v>0</v>
      </c>
      <c r="BE219" s="44"/>
      <c r="BF219" s="44"/>
      <c r="BG219" s="47"/>
      <c r="BH219" s="47"/>
      <c r="BI219" s="47"/>
    </row>
    <row r="220" spans="1:61" x14ac:dyDescent="0.25">
      <c r="A220" s="89"/>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c r="BE220" s="28"/>
      <c r="BF220" s="28"/>
    </row>
    <row r="221" spans="1:61" x14ac:dyDescent="0.25">
      <c r="A221" s="88"/>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c r="AR221" s="17"/>
      <c r="AS221" s="17"/>
      <c r="AT221" s="17"/>
      <c r="AU221" s="17"/>
      <c r="AV221" s="17"/>
      <c r="AW221" s="17"/>
      <c r="AX221" s="17"/>
      <c r="AY221" s="17"/>
      <c r="AZ221" s="17"/>
      <c r="BA221" s="17"/>
      <c r="BB221" s="17"/>
      <c r="BC221" s="17"/>
      <c r="BD221" s="17"/>
      <c r="BE221" s="17"/>
      <c r="BF221" s="17"/>
    </row>
    <row r="222" spans="1:61" x14ac:dyDescent="0.25">
      <c r="A222" s="88"/>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c r="AR222" s="17"/>
      <c r="AS222" s="17"/>
      <c r="AT222" s="17"/>
      <c r="AU222" s="17"/>
      <c r="AV222" s="17"/>
      <c r="AW222" s="17"/>
      <c r="AX222" s="17"/>
      <c r="AY222" s="17"/>
      <c r="AZ222" s="17"/>
      <c r="BA222" s="17"/>
      <c r="BB222" s="17"/>
      <c r="BC222" s="17"/>
      <c r="BD222" s="17"/>
      <c r="BE222" s="17"/>
      <c r="BF222" s="17"/>
    </row>
    <row r="223" spans="1:61" x14ac:dyDescent="0.25">
      <c r="A223" s="10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c r="AR223" s="17"/>
      <c r="AS223" s="17"/>
      <c r="AT223" s="17"/>
      <c r="AU223" s="17"/>
      <c r="AV223" s="17"/>
      <c r="AW223" s="17"/>
      <c r="AX223" s="17"/>
      <c r="AY223" s="17"/>
      <c r="AZ223" s="17"/>
      <c r="BA223" s="17"/>
      <c r="BB223" s="17"/>
      <c r="BC223" s="17"/>
      <c r="BD223" s="17"/>
      <c r="BE223" s="17"/>
      <c r="BF223" s="17"/>
    </row>
    <row r="224" spans="1:61" x14ac:dyDescent="0.25">
      <c r="A224" s="89"/>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c r="AR224" s="17"/>
      <c r="AS224" s="17"/>
      <c r="AT224" s="17"/>
      <c r="AU224" s="17"/>
      <c r="AV224" s="17"/>
      <c r="AW224" s="17"/>
      <c r="AX224" s="17"/>
      <c r="AY224" s="17"/>
      <c r="AZ224" s="17"/>
      <c r="BA224" s="17"/>
      <c r="BB224" s="17"/>
      <c r="BC224" s="17"/>
      <c r="BD224" s="17"/>
      <c r="BE224" s="17"/>
      <c r="BF224" s="17"/>
    </row>
    <row r="225" spans="1:58" x14ac:dyDescent="0.25">
      <c r="A225" s="82"/>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row>
    <row r="226" spans="1:58" x14ac:dyDescent="0.25">
      <c r="A226" s="88"/>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row>
    <row r="227" spans="1:58" x14ac:dyDescent="0.25">
      <c r="A227" s="88"/>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row>
    <row r="228" spans="1:58" x14ac:dyDescent="0.25">
      <c r="A228" s="88"/>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row>
    <row r="229" spans="1:58" x14ac:dyDescent="0.25">
      <c r="A229" s="88"/>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row>
    <row r="230" spans="1:58" x14ac:dyDescent="0.25">
      <c r="A230" s="88"/>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row>
    <row r="231" spans="1:58" x14ac:dyDescent="0.25">
      <c r="A231" s="88"/>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row>
    <row r="232" spans="1:58" x14ac:dyDescent="0.25">
      <c r="A232" s="88"/>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row>
    <row r="233" spans="1:58" x14ac:dyDescent="0.25">
      <c r="A233" s="88"/>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row>
    <row r="234" spans="1:58" x14ac:dyDescent="0.25">
      <c r="A234" s="88"/>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row>
    <row r="235" spans="1:58" x14ac:dyDescent="0.25">
      <c r="A235" s="88"/>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row>
    <row r="236" spans="1:58" x14ac:dyDescent="0.25">
      <c r="A236" s="88"/>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row>
    <row r="237" spans="1:58" x14ac:dyDescent="0.25">
      <c r="A237" s="88"/>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row>
    <row r="238" spans="1:58" x14ac:dyDescent="0.25">
      <c r="A238" s="88"/>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row>
    <row r="239" spans="1:58" x14ac:dyDescent="0.25">
      <c r="A239" s="88"/>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row>
    <row r="240" spans="1:58" x14ac:dyDescent="0.25">
      <c r="A240" s="88"/>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row>
  </sheetData>
  <sortState ref="A207:BI215">
    <sortCondition ref="A207:A215"/>
  </sortState>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183"/>
  <sheetViews>
    <sheetView showZeros="0" workbookViewId="0">
      <pane xSplit="1" ySplit="7" topLeftCell="B8" activePane="bottomRight" state="frozen"/>
      <selection pane="topRight" activeCell="B1" sqref="B1"/>
      <selection pane="bottomLeft" activeCell="A9" sqref="A9"/>
      <selection pane="bottomRight" activeCell="B8" sqref="B8"/>
    </sheetView>
  </sheetViews>
  <sheetFormatPr defaultColWidth="20.7109375" defaultRowHeight="15" x14ac:dyDescent="0.25"/>
  <cols>
    <col min="1" max="1" width="70.7109375" style="145" customWidth="1"/>
    <col min="2" max="11" width="20.7109375" style="51"/>
    <col min="12" max="15" width="10.7109375" style="51" customWidth="1"/>
    <col min="16" max="20" width="20.7109375" style="51"/>
    <col min="21" max="21" width="22.140625" style="51" customWidth="1"/>
    <col min="22" max="49" width="20.7109375" style="51"/>
    <col min="50" max="50" width="10.7109375" style="51" customWidth="1"/>
    <col min="51" max="51" width="20.7109375" style="51"/>
    <col min="52" max="52" width="10.7109375" style="51" customWidth="1"/>
    <col min="53" max="54" width="20.7109375" style="51"/>
    <col min="55" max="56" width="10.7109375" style="51" customWidth="1"/>
    <col min="57" max="57" width="20.7109375" style="51"/>
    <col min="58" max="58" width="10.7109375" style="51" customWidth="1"/>
    <col min="59" max="16384" width="20.7109375" style="51"/>
  </cols>
  <sheetData>
    <row r="1" spans="1:59" x14ac:dyDescent="0.25">
      <c r="A1" s="130" t="s">
        <v>87</v>
      </c>
    </row>
    <row r="2" spans="1:59" ht="15.75" x14ac:dyDescent="0.25">
      <c r="A2" s="131" t="s">
        <v>589</v>
      </c>
      <c r="B2" s="49" t="s">
        <v>1136</v>
      </c>
      <c r="C2" s="48" t="s">
        <v>1137</v>
      </c>
      <c r="D2" s="48" t="s">
        <v>1137</v>
      </c>
      <c r="E2" s="49" t="s">
        <v>1138</v>
      </c>
      <c r="F2" s="49" t="s">
        <v>1138</v>
      </c>
      <c r="G2" s="49" t="s">
        <v>1139</v>
      </c>
      <c r="H2" s="48" t="s">
        <v>1140</v>
      </c>
      <c r="I2" s="48" t="s">
        <v>1140</v>
      </c>
      <c r="J2" s="48" t="s">
        <v>1140</v>
      </c>
      <c r="K2" s="48" t="s">
        <v>1129</v>
      </c>
      <c r="L2" s="49"/>
      <c r="M2" s="49"/>
      <c r="N2" s="49"/>
      <c r="O2" s="49"/>
      <c r="P2" s="49" t="s">
        <v>509</v>
      </c>
      <c r="Q2" s="48" t="s">
        <v>510</v>
      </c>
      <c r="R2" s="48"/>
      <c r="S2" s="49" t="s">
        <v>511</v>
      </c>
      <c r="T2" s="48"/>
      <c r="U2" s="49" t="s">
        <v>0</v>
      </c>
      <c r="V2" s="49" t="s">
        <v>1141</v>
      </c>
      <c r="W2" s="49" t="s">
        <v>1142</v>
      </c>
      <c r="X2" s="49" t="s">
        <v>1143</v>
      </c>
      <c r="Y2" s="49" t="s">
        <v>1143</v>
      </c>
      <c r="Z2" s="49" t="s">
        <v>512</v>
      </c>
      <c r="AA2" s="48" t="s">
        <v>513</v>
      </c>
      <c r="AB2" s="49" t="s">
        <v>1</v>
      </c>
      <c r="AC2" s="49" t="s">
        <v>1144</v>
      </c>
      <c r="AD2" s="49" t="s">
        <v>2</v>
      </c>
      <c r="AE2" s="49" t="s">
        <v>514</v>
      </c>
      <c r="AF2" s="49" t="s">
        <v>4</v>
      </c>
      <c r="AG2" s="49" t="s">
        <v>1145</v>
      </c>
      <c r="AH2" s="49" t="s">
        <v>4</v>
      </c>
      <c r="AI2" s="49" t="s">
        <v>515</v>
      </c>
      <c r="AJ2" s="49" t="s">
        <v>311</v>
      </c>
      <c r="AK2" s="49" t="s">
        <v>515</v>
      </c>
      <c r="AL2" s="49" t="s">
        <v>516</v>
      </c>
      <c r="AM2" s="49" t="s">
        <v>1146</v>
      </c>
      <c r="AN2" s="49" t="s">
        <v>1147</v>
      </c>
      <c r="AO2" s="49" t="s">
        <v>1148</v>
      </c>
      <c r="AP2" s="49" t="s">
        <v>517</v>
      </c>
      <c r="AQ2" s="49" t="s">
        <v>191</v>
      </c>
      <c r="AR2" s="49" t="s">
        <v>191</v>
      </c>
      <c r="AS2" s="49" t="s">
        <v>1149</v>
      </c>
      <c r="AT2" s="49" t="s">
        <v>1149</v>
      </c>
      <c r="AU2" s="49" t="s">
        <v>194</v>
      </c>
      <c r="AV2" s="48" t="s">
        <v>518</v>
      </c>
      <c r="AW2" s="48" t="s">
        <v>518</v>
      </c>
      <c r="AX2" s="48"/>
      <c r="AY2" s="48" t="s">
        <v>518</v>
      </c>
      <c r="AZ2" s="48"/>
      <c r="BA2" s="48" t="s">
        <v>1150</v>
      </c>
      <c r="BB2" s="49" t="s">
        <v>1151</v>
      </c>
      <c r="BC2" s="49"/>
      <c r="BD2" s="50"/>
      <c r="BE2" s="48" t="s">
        <v>519</v>
      </c>
      <c r="BF2" s="48"/>
      <c r="BG2" s="48" t="s">
        <v>520</v>
      </c>
    </row>
    <row r="3" spans="1:59" ht="15.75" x14ac:dyDescent="0.25">
      <c r="A3" s="131" t="s">
        <v>590</v>
      </c>
      <c r="B3" s="49" t="s">
        <v>1275</v>
      </c>
      <c r="C3" s="48" t="s">
        <v>1276</v>
      </c>
      <c r="D3" s="48" t="s">
        <v>1277</v>
      </c>
      <c r="E3" s="49" t="s">
        <v>1278</v>
      </c>
      <c r="F3" s="49" t="s">
        <v>1278</v>
      </c>
      <c r="G3" s="49" t="s">
        <v>1279</v>
      </c>
      <c r="H3" s="48" t="s">
        <v>1280</v>
      </c>
      <c r="I3" s="48" t="s">
        <v>1280</v>
      </c>
      <c r="J3" s="48" t="s">
        <v>1280</v>
      </c>
      <c r="K3" s="48" t="s">
        <v>1281</v>
      </c>
      <c r="L3" s="49"/>
      <c r="M3" s="49"/>
      <c r="N3" s="49"/>
      <c r="O3" s="49"/>
      <c r="P3" s="49" t="s">
        <v>1282</v>
      </c>
      <c r="Q3" s="48" t="s">
        <v>1283</v>
      </c>
      <c r="R3" s="48"/>
      <c r="S3" s="49" t="s">
        <v>1284</v>
      </c>
      <c r="T3" s="48"/>
      <c r="U3" s="49" t="s">
        <v>1285</v>
      </c>
      <c r="V3" s="49" t="s">
        <v>1286</v>
      </c>
      <c r="W3" s="49" t="s">
        <v>1287</v>
      </c>
      <c r="X3" s="49" t="s">
        <v>1288</v>
      </c>
      <c r="Y3" s="49" t="s">
        <v>1289</v>
      </c>
      <c r="Z3" s="49" t="s">
        <v>1290</v>
      </c>
      <c r="AA3" s="48" t="s">
        <v>1291</v>
      </c>
      <c r="AB3" s="49" t="s">
        <v>1292</v>
      </c>
      <c r="AC3" s="49" t="s">
        <v>1293</v>
      </c>
      <c r="AD3" s="49" t="s">
        <v>1294</v>
      </c>
      <c r="AE3" s="49" t="s">
        <v>1295</v>
      </c>
      <c r="AF3" s="49" t="s">
        <v>1296</v>
      </c>
      <c r="AG3" s="49" t="s">
        <v>1297</v>
      </c>
      <c r="AH3" s="49" t="s">
        <v>1296</v>
      </c>
      <c r="AI3" s="49" t="s">
        <v>1298</v>
      </c>
      <c r="AJ3" s="49" t="s">
        <v>1299</v>
      </c>
      <c r="AK3" s="49" t="s">
        <v>1300</v>
      </c>
      <c r="AL3" s="49" t="s">
        <v>1301</v>
      </c>
      <c r="AM3" s="49" t="s">
        <v>1302</v>
      </c>
      <c r="AN3" s="49" t="s">
        <v>1303</v>
      </c>
      <c r="AO3" s="49" t="s">
        <v>1304</v>
      </c>
      <c r="AP3" s="49" t="s">
        <v>1305</v>
      </c>
      <c r="AQ3" s="49" t="s">
        <v>1306</v>
      </c>
      <c r="AR3" s="49" t="s">
        <v>1307</v>
      </c>
      <c r="AS3" s="49" t="s">
        <v>1308</v>
      </c>
      <c r="AT3" s="49" t="s">
        <v>1308</v>
      </c>
      <c r="AU3" s="49" t="s">
        <v>1309</v>
      </c>
      <c r="AV3" s="48" t="s">
        <v>1310</v>
      </c>
      <c r="AW3" s="48" t="s">
        <v>1310</v>
      </c>
      <c r="AX3" s="48"/>
      <c r="AY3" s="48" t="s">
        <v>1310</v>
      </c>
      <c r="AZ3" s="48"/>
      <c r="BA3" s="48" t="s">
        <v>1364</v>
      </c>
      <c r="BB3" s="49" t="s">
        <v>1365</v>
      </c>
      <c r="BC3" s="49"/>
      <c r="BD3" s="50"/>
      <c r="BE3" s="48" t="s">
        <v>1366</v>
      </c>
      <c r="BF3" s="48"/>
      <c r="BG3" s="48" t="s">
        <v>1367</v>
      </c>
    </row>
    <row r="4" spans="1:59" x14ac:dyDescent="0.25">
      <c r="A4" s="132" t="s">
        <v>85</v>
      </c>
      <c r="B4" s="6" t="s">
        <v>321</v>
      </c>
      <c r="C4" s="6" t="s">
        <v>411</v>
      </c>
      <c r="D4" s="6" t="s">
        <v>412</v>
      </c>
      <c r="E4" s="6" t="s">
        <v>324</v>
      </c>
      <c r="F4" s="6" t="s">
        <v>325</v>
      </c>
      <c r="G4" s="6" t="s">
        <v>326</v>
      </c>
      <c r="H4" s="6" t="s">
        <v>327</v>
      </c>
      <c r="I4" s="6" t="s">
        <v>328</v>
      </c>
      <c r="J4" s="6" t="s">
        <v>329</v>
      </c>
      <c r="K4" s="6" t="s">
        <v>330</v>
      </c>
      <c r="L4" s="6" t="s">
        <v>331</v>
      </c>
      <c r="M4" s="6" t="s">
        <v>521</v>
      </c>
      <c r="N4" s="6" t="s">
        <v>333</v>
      </c>
      <c r="O4" s="6" t="s">
        <v>334</v>
      </c>
      <c r="P4" s="6" t="s">
        <v>597</v>
      </c>
      <c r="Q4" s="6" t="s">
        <v>522</v>
      </c>
      <c r="R4" s="6" t="s">
        <v>523</v>
      </c>
      <c r="S4" s="6" t="s">
        <v>524</v>
      </c>
      <c r="T4" s="6" t="s">
        <v>525</v>
      </c>
      <c r="U4" s="6">
        <v>1852</v>
      </c>
      <c r="V4" s="6">
        <v>1853</v>
      </c>
      <c r="W4" s="6">
        <v>1854</v>
      </c>
      <c r="X4" s="6">
        <v>1855</v>
      </c>
      <c r="Y4" s="6">
        <v>1856</v>
      </c>
      <c r="Z4" s="6">
        <v>1857</v>
      </c>
      <c r="AA4" s="6">
        <v>1858</v>
      </c>
      <c r="AB4" s="6">
        <v>1859</v>
      </c>
      <c r="AC4" s="6">
        <v>1860</v>
      </c>
      <c r="AD4" s="6">
        <v>1861</v>
      </c>
      <c r="AE4" s="69" t="s">
        <v>526</v>
      </c>
      <c r="AF4" s="6" t="s">
        <v>527</v>
      </c>
      <c r="AG4" s="6" t="s">
        <v>528</v>
      </c>
      <c r="AH4" s="6" t="s">
        <v>529</v>
      </c>
      <c r="AI4" s="6" t="s">
        <v>530</v>
      </c>
      <c r="AJ4" s="6" t="s">
        <v>531</v>
      </c>
      <c r="AK4" s="6" t="s">
        <v>532</v>
      </c>
      <c r="AL4" s="6" t="s">
        <v>533</v>
      </c>
      <c r="AM4" s="6" t="s">
        <v>534</v>
      </c>
      <c r="AN4" s="6" t="s">
        <v>535</v>
      </c>
      <c r="AO4" s="6" t="s">
        <v>536</v>
      </c>
      <c r="AP4" s="6" t="s">
        <v>537</v>
      </c>
      <c r="AQ4" s="6" t="s">
        <v>538</v>
      </c>
      <c r="AR4" s="6" t="s">
        <v>539</v>
      </c>
      <c r="AS4" s="6" t="s">
        <v>540</v>
      </c>
      <c r="AT4" s="6" t="s">
        <v>215</v>
      </c>
      <c r="AU4" s="6" t="s">
        <v>418</v>
      </c>
      <c r="AV4" s="6" t="s">
        <v>541</v>
      </c>
      <c r="AW4" s="6" t="s">
        <v>24</v>
      </c>
      <c r="AX4" s="6">
        <v>81</v>
      </c>
      <c r="AY4" s="6" t="s">
        <v>26</v>
      </c>
      <c r="AZ4" s="6">
        <v>83</v>
      </c>
      <c r="BA4" s="6" t="s">
        <v>28</v>
      </c>
      <c r="BB4" s="6" t="s">
        <v>29</v>
      </c>
      <c r="BC4" s="6">
        <v>86</v>
      </c>
      <c r="BD4" s="6">
        <v>87</v>
      </c>
      <c r="BE4" s="6" t="s">
        <v>32</v>
      </c>
      <c r="BF4" s="6">
        <v>89</v>
      </c>
      <c r="BG4" s="6" t="s">
        <v>217</v>
      </c>
    </row>
    <row r="5" spans="1:59" ht="15.75" x14ac:dyDescent="0.25">
      <c r="A5" s="133" t="s">
        <v>86</v>
      </c>
      <c r="B5" s="49" t="s">
        <v>572</v>
      </c>
      <c r="C5" s="49" t="s">
        <v>573</v>
      </c>
      <c r="D5" s="48" t="s">
        <v>574</v>
      </c>
      <c r="E5" s="49" t="s">
        <v>575</v>
      </c>
      <c r="F5" s="49" t="s">
        <v>575</v>
      </c>
      <c r="G5" s="49" t="s">
        <v>576</v>
      </c>
      <c r="H5" s="48" t="s">
        <v>577</v>
      </c>
      <c r="I5" s="48" t="s">
        <v>577</v>
      </c>
      <c r="J5" s="48" t="s">
        <v>577</v>
      </c>
      <c r="K5" s="48" t="s">
        <v>578</v>
      </c>
      <c r="L5" s="49"/>
      <c r="M5" s="49"/>
      <c r="N5" s="49"/>
      <c r="O5" s="49"/>
      <c r="P5" s="49" t="s">
        <v>579</v>
      </c>
      <c r="Q5" s="48" t="s">
        <v>580</v>
      </c>
      <c r="R5" s="49" t="s">
        <v>419</v>
      </c>
      <c r="S5" s="49" t="s">
        <v>70</v>
      </c>
      <c r="T5" s="49" t="s">
        <v>419</v>
      </c>
      <c r="U5" s="49" t="s">
        <v>70</v>
      </c>
      <c r="V5" s="49" t="s">
        <v>70</v>
      </c>
      <c r="W5" s="49" t="s">
        <v>70</v>
      </c>
      <c r="X5" s="49" t="s">
        <v>70</v>
      </c>
      <c r="Y5" s="49" t="s">
        <v>70</v>
      </c>
      <c r="Z5" s="49" t="s">
        <v>70</v>
      </c>
      <c r="AA5" s="48" t="s">
        <v>70</v>
      </c>
      <c r="AB5" s="49" t="s">
        <v>70</v>
      </c>
      <c r="AC5" s="49" t="s">
        <v>70</v>
      </c>
      <c r="AD5" s="49" t="s">
        <v>70</v>
      </c>
      <c r="AE5" s="49" t="s">
        <v>70</v>
      </c>
      <c r="AF5" s="49" t="s">
        <v>70</v>
      </c>
      <c r="AG5" s="49" t="s">
        <v>70</v>
      </c>
      <c r="AH5" s="53" t="s">
        <v>71</v>
      </c>
      <c r="AI5" s="49" t="s">
        <v>70</v>
      </c>
      <c r="AJ5" s="49" t="s">
        <v>70</v>
      </c>
      <c r="AK5" s="53" t="s">
        <v>71</v>
      </c>
      <c r="AL5" s="49" t="s">
        <v>70</v>
      </c>
      <c r="AM5" s="49" t="s">
        <v>70</v>
      </c>
      <c r="AN5" s="49" t="s">
        <v>70</v>
      </c>
      <c r="AO5" s="49" t="s">
        <v>70</v>
      </c>
      <c r="AP5" s="49" t="s">
        <v>70</v>
      </c>
      <c r="AQ5" s="49" t="s">
        <v>70</v>
      </c>
      <c r="AR5" s="49" t="s">
        <v>70</v>
      </c>
      <c r="AS5" s="49" t="s">
        <v>70</v>
      </c>
      <c r="AT5" s="49" t="s">
        <v>581</v>
      </c>
      <c r="AU5" s="49" t="s">
        <v>70</v>
      </c>
      <c r="AV5" s="48" t="s">
        <v>70</v>
      </c>
      <c r="AW5" s="48" t="s">
        <v>70</v>
      </c>
      <c r="AX5" s="48"/>
      <c r="AY5" s="54" t="s">
        <v>71</v>
      </c>
      <c r="AZ5" s="48"/>
      <c r="BA5" s="54" t="s">
        <v>71</v>
      </c>
      <c r="BB5" s="53" t="s">
        <v>71</v>
      </c>
      <c r="BC5" s="49"/>
      <c r="BD5" s="50"/>
      <c r="BE5" s="48" t="s">
        <v>70</v>
      </c>
      <c r="BF5" s="48"/>
      <c r="BG5" s="54" t="s">
        <v>71</v>
      </c>
    </row>
    <row r="6" spans="1:59" ht="15.75" x14ac:dyDescent="0.25">
      <c r="A6" s="131" t="s">
        <v>84</v>
      </c>
      <c r="B6" s="52" t="s">
        <v>70</v>
      </c>
      <c r="C6" s="52" t="s">
        <v>70</v>
      </c>
      <c r="D6" s="52" t="s">
        <v>70</v>
      </c>
      <c r="E6" s="52" t="s">
        <v>70</v>
      </c>
      <c r="F6" s="52" t="s">
        <v>70</v>
      </c>
      <c r="G6" s="52" t="s">
        <v>70</v>
      </c>
      <c r="H6" s="52" t="s">
        <v>70</v>
      </c>
      <c r="I6" s="52" t="s">
        <v>70</v>
      </c>
      <c r="J6" s="52" t="s">
        <v>70</v>
      </c>
      <c r="K6" s="52" t="s">
        <v>70</v>
      </c>
      <c r="L6" s="52"/>
      <c r="M6" s="52"/>
      <c r="N6" s="52"/>
      <c r="O6" s="52"/>
      <c r="P6" s="52" t="s">
        <v>70</v>
      </c>
      <c r="Q6" s="52" t="s">
        <v>70</v>
      </c>
      <c r="R6" s="52" t="s">
        <v>72</v>
      </c>
      <c r="S6" s="52" t="s">
        <v>542</v>
      </c>
      <c r="T6" s="52" t="s">
        <v>72</v>
      </c>
      <c r="U6" s="52" t="s">
        <v>543</v>
      </c>
      <c r="V6" s="52" t="s">
        <v>544</v>
      </c>
      <c r="W6" s="52" t="s">
        <v>545</v>
      </c>
      <c r="X6" s="52" t="s">
        <v>546</v>
      </c>
      <c r="Y6" s="52" t="s">
        <v>51</v>
      </c>
      <c r="Z6" s="52" t="s">
        <v>547</v>
      </c>
      <c r="AA6" s="52" t="s">
        <v>548</v>
      </c>
      <c r="AB6" s="52" t="s">
        <v>549</v>
      </c>
      <c r="AC6" s="52" t="s">
        <v>550</v>
      </c>
      <c r="AD6" s="52" t="s">
        <v>551</v>
      </c>
      <c r="AE6" s="52" t="s">
        <v>552</v>
      </c>
      <c r="AF6" s="52" t="s">
        <v>553</v>
      </c>
      <c r="AG6" s="52" t="s">
        <v>554</v>
      </c>
      <c r="AH6" s="52" t="s">
        <v>553</v>
      </c>
      <c r="AI6" s="52" t="s">
        <v>555</v>
      </c>
      <c r="AJ6" s="52" t="s">
        <v>556</v>
      </c>
      <c r="AK6" s="52" t="s">
        <v>555</v>
      </c>
      <c r="AL6" s="52" t="s">
        <v>557</v>
      </c>
      <c r="AM6" s="52" t="s">
        <v>558</v>
      </c>
      <c r="AN6" s="52" t="s">
        <v>559</v>
      </c>
      <c r="AO6" s="52" t="s">
        <v>560</v>
      </c>
      <c r="AP6" s="52" t="s">
        <v>561</v>
      </c>
      <c r="AQ6" s="52" t="s">
        <v>562</v>
      </c>
      <c r="AR6" s="52" t="s">
        <v>563</v>
      </c>
      <c r="AS6" s="52" t="s">
        <v>564</v>
      </c>
      <c r="AT6" s="52" t="s">
        <v>565</v>
      </c>
      <c r="AU6" s="52" t="s">
        <v>566</v>
      </c>
      <c r="AV6" s="52" t="s">
        <v>567</v>
      </c>
      <c r="AW6" s="52" t="s">
        <v>568</v>
      </c>
      <c r="AX6" s="52"/>
      <c r="AY6" s="52" t="s">
        <v>568</v>
      </c>
      <c r="AZ6" s="52"/>
      <c r="BA6" s="52" t="s">
        <v>569</v>
      </c>
      <c r="BB6" s="52" t="s">
        <v>570</v>
      </c>
      <c r="BC6" s="52"/>
      <c r="BD6" s="52"/>
      <c r="BE6" s="52" t="s">
        <v>571</v>
      </c>
      <c r="BF6" s="52"/>
      <c r="BG6" s="52" t="s">
        <v>571</v>
      </c>
    </row>
    <row r="7" spans="1:59" ht="15.75" x14ac:dyDescent="0.25">
      <c r="A7" s="131"/>
      <c r="B7" s="55"/>
      <c r="C7" s="55"/>
      <c r="D7" s="55"/>
      <c r="E7" s="55"/>
      <c r="F7" s="55"/>
      <c r="G7" s="55"/>
      <c r="H7" s="55"/>
      <c r="I7" s="55"/>
      <c r="J7" s="55"/>
      <c r="K7" s="55"/>
      <c r="L7" s="55"/>
      <c r="M7" s="55"/>
      <c r="N7" s="55"/>
      <c r="O7" s="55"/>
      <c r="P7" s="55"/>
      <c r="Q7" s="55"/>
      <c r="R7" s="55"/>
      <c r="S7" s="55"/>
      <c r="T7" s="55"/>
      <c r="U7" s="55" t="s">
        <v>660</v>
      </c>
      <c r="V7" s="55"/>
      <c r="W7" s="55"/>
      <c r="X7" s="55"/>
      <c r="Y7" s="55"/>
      <c r="Z7" s="55"/>
      <c r="AA7" s="55"/>
      <c r="AB7" s="55"/>
      <c r="AC7" s="55"/>
      <c r="AD7" s="55"/>
      <c r="AE7" s="55"/>
      <c r="AF7" s="55"/>
      <c r="AG7" s="55"/>
      <c r="AH7" s="55"/>
      <c r="AI7" s="56"/>
      <c r="AJ7" s="56"/>
      <c r="AK7" s="56"/>
      <c r="AL7" s="56"/>
      <c r="AM7" s="56"/>
      <c r="AN7" s="56"/>
      <c r="AO7" s="57" t="s">
        <v>582</v>
      </c>
      <c r="AP7" s="56"/>
      <c r="AQ7" s="56"/>
      <c r="AR7" s="56"/>
      <c r="AS7" s="57" t="s">
        <v>582</v>
      </c>
      <c r="AT7" s="56"/>
      <c r="AU7" s="56"/>
      <c r="AV7" s="55"/>
      <c r="AW7" s="55"/>
      <c r="AX7" s="55"/>
      <c r="AY7" s="55"/>
      <c r="AZ7" s="55"/>
      <c r="BA7" s="58"/>
      <c r="BB7" s="59"/>
      <c r="BC7" s="59"/>
      <c r="BD7" s="60"/>
      <c r="BE7" s="58"/>
      <c r="BF7" s="58"/>
      <c r="BG7" s="58"/>
    </row>
    <row r="8" spans="1:59" ht="15.75" x14ac:dyDescent="0.25">
      <c r="A8" s="127" t="s">
        <v>583</v>
      </c>
      <c r="B8" s="59">
        <v>260276</v>
      </c>
      <c r="C8" s="59">
        <v>1331208</v>
      </c>
      <c r="D8" s="59">
        <v>1717692</v>
      </c>
      <c r="E8" s="59"/>
      <c r="F8" s="59"/>
      <c r="G8" s="59"/>
      <c r="H8" s="59">
        <v>301736</v>
      </c>
      <c r="I8" s="59"/>
      <c r="J8" s="59"/>
      <c r="K8" s="59">
        <v>75154</v>
      </c>
      <c r="L8" s="59"/>
      <c r="M8" s="59"/>
      <c r="N8" s="59"/>
      <c r="O8" s="59"/>
      <c r="P8" s="59">
        <v>55440</v>
      </c>
      <c r="Q8" s="59">
        <v>413087</v>
      </c>
      <c r="R8" s="59">
        <f>(Q8/15)*12</f>
        <v>330469.60000000003</v>
      </c>
      <c r="S8" s="59">
        <v>68310</v>
      </c>
      <c r="T8" s="59">
        <f>(S8/15)*12</f>
        <v>54648</v>
      </c>
      <c r="U8" s="59"/>
      <c r="V8" s="59"/>
      <c r="W8" s="59"/>
      <c r="X8" s="59"/>
      <c r="Y8" s="59">
        <v>224225</v>
      </c>
      <c r="Z8" s="59"/>
      <c r="AA8" s="59">
        <v>322871</v>
      </c>
      <c r="AB8" s="59">
        <v>291781</v>
      </c>
      <c r="AC8" s="59"/>
      <c r="AD8" s="59"/>
      <c r="AE8" s="59"/>
      <c r="AF8" s="59"/>
      <c r="AG8" s="59"/>
      <c r="AH8" s="59"/>
      <c r="AI8" s="59">
        <v>563874</v>
      </c>
      <c r="AJ8" s="59"/>
      <c r="AK8" s="59"/>
      <c r="AL8" s="59">
        <v>3547</v>
      </c>
      <c r="AM8" s="59">
        <v>592492</v>
      </c>
      <c r="AN8" s="59">
        <v>1923719</v>
      </c>
      <c r="AO8" s="59"/>
      <c r="AP8" s="59"/>
      <c r="AQ8" s="59"/>
      <c r="AR8" s="59">
        <v>366698</v>
      </c>
      <c r="AS8" s="59">
        <v>349058</v>
      </c>
      <c r="AT8" s="59">
        <v>126121</v>
      </c>
      <c r="AU8" s="59">
        <v>1180045</v>
      </c>
      <c r="AV8" s="61">
        <v>1180045</v>
      </c>
      <c r="AW8" s="61">
        <v>468841</v>
      </c>
      <c r="AX8" s="58"/>
      <c r="AY8" s="59">
        <v>688640</v>
      </c>
      <c r="AZ8" s="58"/>
      <c r="BA8" s="59">
        <v>450000</v>
      </c>
      <c r="BB8" s="59"/>
      <c r="BC8" s="59"/>
      <c r="BD8" s="62"/>
      <c r="BE8" s="59">
        <v>921559</v>
      </c>
      <c r="BF8" s="58"/>
      <c r="BG8" s="59"/>
    </row>
    <row r="9" spans="1:59" ht="15.75" x14ac:dyDescent="0.25">
      <c r="A9" s="127" t="s">
        <v>598</v>
      </c>
      <c r="B9" s="59"/>
      <c r="C9" s="59"/>
      <c r="D9" s="59"/>
      <c r="E9" s="59"/>
      <c r="F9" s="59"/>
      <c r="G9" s="59"/>
      <c r="H9" s="59"/>
      <c r="I9" s="59"/>
      <c r="J9" s="59"/>
      <c r="K9" s="59"/>
      <c r="L9" s="59"/>
      <c r="M9" s="59"/>
      <c r="N9" s="59"/>
      <c r="O9" s="59"/>
      <c r="P9" s="59"/>
      <c r="Q9" s="59"/>
      <c r="R9" s="59">
        <f t="shared" ref="R9:T73" si="0">(Q9/15)*12</f>
        <v>0</v>
      </c>
      <c r="S9" s="59"/>
      <c r="T9" s="59">
        <f t="shared" si="0"/>
        <v>0</v>
      </c>
      <c r="U9" s="59"/>
      <c r="V9" s="59"/>
      <c r="W9" s="59"/>
      <c r="X9" s="59"/>
      <c r="Y9" s="59"/>
      <c r="Z9" s="59"/>
      <c r="AA9" s="59"/>
      <c r="AB9" s="59"/>
      <c r="AC9" s="59"/>
      <c r="AD9" s="59"/>
      <c r="AE9" s="59"/>
      <c r="AF9" s="59"/>
      <c r="AG9" s="59"/>
      <c r="AH9" s="59"/>
      <c r="AI9" s="59">
        <v>267393</v>
      </c>
      <c r="AJ9" s="59"/>
      <c r="AK9" s="59"/>
      <c r="AL9" s="59">
        <v>275350</v>
      </c>
      <c r="AM9" s="59">
        <v>792498</v>
      </c>
      <c r="AN9" s="59"/>
      <c r="AO9" s="59">
        <v>1600994</v>
      </c>
      <c r="AP9" s="59">
        <v>853701</v>
      </c>
      <c r="AQ9" s="59">
        <v>901866</v>
      </c>
      <c r="AR9" s="59">
        <v>1137323</v>
      </c>
      <c r="AS9" s="59">
        <v>1685036</v>
      </c>
      <c r="AT9" s="59">
        <v>368388</v>
      </c>
      <c r="AU9" s="59"/>
      <c r="AV9" s="61"/>
      <c r="AW9" s="61"/>
      <c r="AX9" s="58"/>
      <c r="AY9" s="59"/>
      <c r="AZ9" s="58"/>
      <c r="BA9" s="59"/>
      <c r="BB9" s="59"/>
      <c r="BC9" s="59"/>
      <c r="BD9" s="62"/>
      <c r="BE9" s="59"/>
      <c r="BF9" s="58"/>
      <c r="BG9" s="59"/>
    </row>
    <row r="10" spans="1:59" ht="15.75" x14ac:dyDescent="0.25">
      <c r="A10" s="132" t="s">
        <v>674</v>
      </c>
      <c r="B10" s="57"/>
      <c r="C10" s="57"/>
      <c r="D10" s="57"/>
      <c r="E10" s="57"/>
      <c r="F10" s="57"/>
      <c r="G10" s="57"/>
      <c r="H10" s="57"/>
      <c r="I10" s="57"/>
      <c r="J10" s="57"/>
      <c r="K10" s="57"/>
      <c r="L10" s="57"/>
      <c r="M10" s="57"/>
      <c r="N10" s="57"/>
      <c r="O10" s="57"/>
      <c r="P10" s="57"/>
      <c r="Q10" s="57"/>
      <c r="R10" s="59">
        <f t="shared" si="0"/>
        <v>0</v>
      </c>
      <c r="S10" s="57"/>
      <c r="T10" s="59">
        <f t="shared" si="0"/>
        <v>0</v>
      </c>
      <c r="U10" s="57"/>
      <c r="V10" s="57"/>
      <c r="W10" s="57"/>
      <c r="X10" s="57"/>
      <c r="Y10" s="57"/>
      <c r="Z10" s="57"/>
      <c r="AA10" s="57"/>
      <c r="AB10" s="57"/>
      <c r="AC10" s="57"/>
      <c r="AD10" s="57"/>
      <c r="AE10" s="57"/>
      <c r="AF10" s="57"/>
      <c r="AG10" s="57"/>
      <c r="AH10" s="57"/>
      <c r="AI10" s="49"/>
      <c r="AJ10" s="49"/>
      <c r="AK10" s="49"/>
      <c r="AL10" s="49"/>
      <c r="AM10" s="49"/>
      <c r="AN10" s="49"/>
      <c r="AO10" s="49"/>
      <c r="AP10" s="49"/>
      <c r="AQ10" s="49"/>
      <c r="AR10" s="49"/>
      <c r="AS10" s="49"/>
      <c r="AT10" s="49"/>
      <c r="AU10" s="49"/>
      <c r="AV10" s="48"/>
      <c r="AW10" s="48"/>
      <c r="AX10" s="48"/>
      <c r="AY10" s="48"/>
      <c r="AZ10" s="48"/>
      <c r="BA10" s="59"/>
      <c r="BB10" s="59"/>
      <c r="BC10" s="59"/>
      <c r="BD10" s="50"/>
      <c r="BE10" s="59"/>
      <c r="BF10" s="58"/>
      <c r="BG10" s="59"/>
    </row>
    <row r="11" spans="1:59" ht="15.75" x14ac:dyDescent="0.25">
      <c r="A11" s="127" t="s">
        <v>995</v>
      </c>
      <c r="B11" s="59"/>
      <c r="C11" s="59"/>
      <c r="D11" s="59"/>
      <c r="E11" s="59"/>
      <c r="F11" s="59"/>
      <c r="G11" s="59"/>
      <c r="H11" s="59"/>
      <c r="I11" s="59"/>
      <c r="J11" s="59"/>
      <c r="K11" s="59"/>
      <c r="L11" s="59"/>
      <c r="M11" s="59"/>
      <c r="N11" s="59"/>
      <c r="O11" s="59"/>
      <c r="P11" s="59"/>
      <c r="Q11" s="59"/>
      <c r="R11" s="59">
        <f t="shared" ref="R11:R49" si="1">(Q11/15)*12</f>
        <v>0</v>
      </c>
      <c r="S11" s="59"/>
      <c r="T11" s="59">
        <f t="shared" ref="T11:T49" si="2">(S11/15)*12</f>
        <v>0</v>
      </c>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61"/>
      <c r="AW11" s="61"/>
      <c r="AX11" s="58"/>
      <c r="AY11" s="61"/>
      <c r="AZ11" s="58"/>
      <c r="BA11" s="59"/>
      <c r="BB11" s="59">
        <v>700000</v>
      </c>
      <c r="BC11" s="59"/>
      <c r="BD11" s="62"/>
      <c r="BE11" s="59"/>
      <c r="BF11" s="58"/>
      <c r="BG11" s="59"/>
    </row>
    <row r="12" spans="1:59" ht="15.75" x14ac:dyDescent="0.25">
      <c r="A12" s="75" t="s">
        <v>139</v>
      </c>
      <c r="B12" s="59"/>
      <c r="C12" s="59"/>
      <c r="D12" s="59"/>
      <c r="E12" s="59"/>
      <c r="F12" s="59"/>
      <c r="G12" s="59"/>
      <c r="H12" s="59"/>
      <c r="I12" s="59"/>
      <c r="J12" s="59"/>
      <c r="K12" s="59"/>
      <c r="L12" s="59"/>
      <c r="M12" s="59"/>
      <c r="N12" s="59"/>
      <c r="O12" s="59"/>
      <c r="P12" s="59"/>
      <c r="Q12" s="59"/>
      <c r="R12" s="59">
        <f t="shared" si="1"/>
        <v>0</v>
      </c>
      <c r="S12" s="59"/>
      <c r="T12" s="59">
        <f t="shared" si="2"/>
        <v>0</v>
      </c>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61"/>
      <c r="AW12" s="61"/>
      <c r="AX12" s="58"/>
      <c r="AY12" s="61"/>
      <c r="AZ12" s="58"/>
      <c r="BA12" s="59">
        <v>550000</v>
      </c>
      <c r="BB12" s="59"/>
      <c r="BC12" s="59"/>
      <c r="BD12" s="62"/>
      <c r="BE12" s="59"/>
      <c r="BF12" s="58"/>
      <c r="BG12" s="59"/>
    </row>
    <row r="13" spans="1:59" ht="15.75" x14ac:dyDescent="0.25">
      <c r="A13" s="75" t="s">
        <v>140</v>
      </c>
      <c r="B13" s="59"/>
      <c r="C13" s="59"/>
      <c r="D13" s="59"/>
      <c r="E13" s="59"/>
      <c r="F13" s="59"/>
      <c r="G13" s="59"/>
      <c r="H13" s="59"/>
      <c r="I13" s="59"/>
      <c r="J13" s="59"/>
      <c r="K13" s="59"/>
      <c r="L13" s="59"/>
      <c r="M13" s="59"/>
      <c r="N13" s="59"/>
      <c r="O13" s="59"/>
      <c r="P13" s="59"/>
      <c r="Q13" s="59"/>
      <c r="R13" s="59">
        <f t="shared" si="1"/>
        <v>0</v>
      </c>
      <c r="S13" s="59"/>
      <c r="T13" s="59">
        <f t="shared" si="2"/>
        <v>0</v>
      </c>
      <c r="U13" s="59"/>
      <c r="V13" s="59"/>
      <c r="W13" s="59"/>
      <c r="X13" s="59"/>
      <c r="Y13" s="59"/>
      <c r="Z13" s="59"/>
      <c r="AA13" s="59"/>
      <c r="AB13" s="59"/>
      <c r="AC13" s="59"/>
      <c r="AD13" s="59"/>
      <c r="AE13" s="59"/>
      <c r="AF13" s="59"/>
      <c r="AG13" s="59"/>
      <c r="AH13" s="59"/>
      <c r="AI13" s="59"/>
      <c r="AJ13" s="59"/>
      <c r="AK13" s="59"/>
      <c r="AL13" s="59"/>
      <c r="AM13" s="59"/>
      <c r="AN13" s="59">
        <v>354270</v>
      </c>
      <c r="AO13" s="59">
        <v>456550</v>
      </c>
      <c r="AP13" s="59"/>
      <c r="AQ13" s="59">
        <v>336850</v>
      </c>
      <c r="AR13" s="59">
        <v>311050</v>
      </c>
      <c r="AS13" s="59">
        <v>202450</v>
      </c>
      <c r="AT13" s="59">
        <v>504320</v>
      </c>
      <c r="AU13" s="59">
        <v>200000</v>
      </c>
      <c r="AV13" s="61">
        <v>547900</v>
      </c>
      <c r="AW13" s="61">
        <v>469300</v>
      </c>
      <c r="AX13" s="58"/>
      <c r="AY13" s="61">
        <v>600000</v>
      </c>
      <c r="AZ13" s="58"/>
      <c r="BA13" s="59">
        <v>221680</v>
      </c>
      <c r="BB13" s="59">
        <v>372940</v>
      </c>
      <c r="BC13" s="59"/>
      <c r="BD13" s="62"/>
      <c r="BE13" s="59">
        <v>596880</v>
      </c>
      <c r="BF13" s="58"/>
      <c r="BG13" s="59">
        <v>800000</v>
      </c>
    </row>
    <row r="14" spans="1:59" ht="15.75" x14ac:dyDescent="0.25">
      <c r="A14" s="127" t="s">
        <v>112</v>
      </c>
      <c r="B14" s="59"/>
      <c r="C14" s="59"/>
      <c r="D14" s="59"/>
      <c r="E14" s="59"/>
      <c r="F14" s="59"/>
      <c r="G14" s="59"/>
      <c r="H14" s="59"/>
      <c r="I14" s="59"/>
      <c r="J14" s="59"/>
      <c r="K14" s="59"/>
      <c r="L14" s="59"/>
      <c r="M14" s="59"/>
      <c r="N14" s="59"/>
      <c r="O14" s="59"/>
      <c r="P14" s="59">
        <v>66000</v>
      </c>
      <c r="Q14" s="59">
        <f>271000+101000</f>
        <v>372000</v>
      </c>
      <c r="R14" s="59">
        <f t="shared" si="1"/>
        <v>297600</v>
      </c>
      <c r="S14" s="59">
        <f>8000+16000+16000+4000</f>
        <v>44000</v>
      </c>
      <c r="T14" s="59">
        <f t="shared" si="2"/>
        <v>35200</v>
      </c>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61"/>
      <c r="AW14" s="61"/>
      <c r="AX14" s="58"/>
      <c r="AY14" s="61"/>
      <c r="AZ14" s="58"/>
      <c r="BA14" s="59"/>
      <c r="BB14" s="59">
        <v>1640000</v>
      </c>
      <c r="BC14" s="59"/>
      <c r="BD14" s="62"/>
      <c r="BE14" s="59">
        <v>1370000</v>
      </c>
      <c r="BF14" s="58"/>
      <c r="BG14" s="59">
        <v>1800000</v>
      </c>
    </row>
    <row r="15" spans="1:59" ht="15.75" x14ac:dyDescent="0.25">
      <c r="A15" s="127" t="s">
        <v>996</v>
      </c>
      <c r="B15" s="59"/>
      <c r="C15" s="59"/>
      <c r="D15" s="59"/>
      <c r="E15" s="59"/>
      <c r="F15" s="59"/>
      <c r="G15" s="59"/>
      <c r="H15" s="59"/>
      <c r="I15" s="59"/>
      <c r="J15" s="59"/>
      <c r="K15" s="59"/>
      <c r="L15" s="59"/>
      <c r="M15" s="59"/>
      <c r="N15" s="59"/>
      <c r="O15" s="59"/>
      <c r="P15" s="59"/>
      <c r="Q15" s="59"/>
      <c r="R15" s="59">
        <f t="shared" si="1"/>
        <v>0</v>
      </c>
      <c r="S15" s="59"/>
      <c r="T15" s="59">
        <f t="shared" si="2"/>
        <v>0</v>
      </c>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61"/>
      <c r="AW15" s="61"/>
      <c r="AX15" s="58"/>
      <c r="AY15" s="61"/>
      <c r="AZ15" s="58"/>
      <c r="BA15" s="59">
        <v>1295000</v>
      </c>
      <c r="BB15" s="59"/>
      <c r="BC15" s="59"/>
      <c r="BD15" s="62"/>
      <c r="BE15" s="59"/>
      <c r="BF15" s="58"/>
      <c r="BG15" s="59"/>
    </row>
    <row r="16" spans="1:59" ht="31.5" x14ac:dyDescent="0.25">
      <c r="A16" s="127" t="s">
        <v>998</v>
      </c>
      <c r="B16" s="59"/>
      <c r="C16" s="59"/>
      <c r="D16" s="59"/>
      <c r="E16" s="59"/>
      <c r="F16" s="59"/>
      <c r="G16" s="59"/>
      <c r="H16" s="59"/>
      <c r="I16" s="59"/>
      <c r="J16" s="59"/>
      <c r="K16" s="59"/>
      <c r="L16" s="59"/>
      <c r="M16" s="59"/>
      <c r="N16" s="59"/>
      <c r="O16" s="59"/>
      <c r="P16" s="59"/>
      <c r="Q16" s="59"/>
      <c r="R16" s="59">
        <f t="shared" si="1"/>
        <v>0</v>
      </c>
      <c r="S16" s="59"/>
      <c r="T16" s="59">
        <f t="shared" si="2"/>
        <v>0</v>
      </c>
      <c r="U16" s="59"/>
      <c r="V16" s="59"/>
      <c r="W16" s="59"/>
      <c r="X16" s="59"/>
      <c r="Y16" s="59"/>
      <c r="Z16" s="59"/>
      <c r="AA16" s="59">
        <v>352638</v>
      </c>
      <c r="AB16" s="59">
        <f>400725+616820</f>
        <v>1017545</v>
      </c>
      <c r="AC16" s="59">
        <v>593915</v>
      </c>
      <c r="AD16" s="59"/>
      <c r="AE16" s="59">
        <v>186422</v>
      </c>
      <c r="AF16" s="59">
        <v>274074</v>
      </c>
      <c r="AG16" s="59">
        <v>496352</v>
      </c>
      <c r="AH16" s="59">
        <v>400000</v>
      </c>
      <c r="AI16" s="59">
        <v>117960</v>
      </c>
      <c r="AJ16" s="59">
        <v>372400</v>
      </c>
      <c r="AK16" s="59">
        <v>300000</v>
      </c>
      <c r="AL16" s="59">
        <v>755520</v>
      </c>
      <c r="AM16" s="59">
        <v>603120</v>
      </c>
      <c r="AN16" s="59">
        <v>429440</v>
      </c>
      <c r="AO16" s="59">
        <v>538960</v>
      </c>
      <c r="AP16" s="59">
        <v>386560</v>
      </c>
      <c r="AQ16" s="59">
        <v>725800</v>
      </c>
      <c r="AR16" s="59">
        <v>682200</v>
      </c>
      <c r="AS16" s="59">
        <v>496820</v>
      </c>
      <c r="AT16" s="59">
        <v>789460</v>
      </c>
      <c r="AU16" s="59">
        <v>723660</v>
      </c>
      <c r="AV16" s="61">
        <v>845520</v>
      </c>
      <c r="AW16" s="61">
        <v>349440</v>
      </c>
      <c r="AX16" s="58"/>
      <c r="AY16" s="61">
        <v>400000</v>
      </c>
      <c r="AZ16" s="58"/>
      <c r="BA16" s="59"/>
      <c r="BB16" s="59"/>
      <c r="BC16" s="59"/>
      <c r="BD16" s="62"/>
      <c r="BE16" s="59"/>
      <c r="BF16" s="58"/>
      <c r="BG16" s="59"/>
    </row>
    <row r="17" spans="1:59" ht="15.75" x14ac:dyDescent="0.25">
      <c r="A17" s="127" t="s">
        <v>999</v>
      </c>
      <c r="B17" s="59"/>
      <c r="C17" s="59"/>
      <c r="D17" s="59"/>
      <c r="E17" s="59"/>
      <c r="F17" s="59"/>
      <c r="G17" s="59"/>
      <c r="H17" s="59"/>
      <c r="I17" s="59"/>
      <c r="J17" s="59"/>
      <c r="K17" s="59"/>
      <c r="L17" s="59"/>
      <c r="M17" s="59"/>
      <c r="N17" s="59"/>
      <c r="O17" s="59"/>
      <c r="P17" s="59"/>
      <c r="Q17" s="59"/>
      <c r="R17" s="59">
        <f t="shared" si="1"/>
        <v>0</v>
      </c>
      <c r="S17" s="59"/>
      <c r="T17" s="59">
        <f t="shared" si="2"/>
        <v>0</v>
      </c>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61"/>
      <c r="AW17" s="61"/>
      <c r="AX17" s="58"/>
      <c r="AY17" s="61"/>
      <c r="AZ17" s="58"/>
      <c r="BA17" s="59">
        <v>330000</v>
      </c>
      <c r="BB17" s="59">
        <v>550000</v>
      </c>
      <c r="BC17" s="59"/>
      <c r="BD17" s="62"/>
      <c r="BE17" s="59"/>
      <c r="BF17" s="58"/>
      <c r="BG17" s="59"/>
    </row>
    <row r="18" spans="1:59" ht="15.75" x14ac:dyDescent="0.25">
      <c r="A18" s="105" t="s">
        <v>599</v>
      </c>
      <c r="B18" s="59"/>
      <c r="C18" s="59"/>
      <c r="D18" s="59"/>
      <c r="E18" s="59"/>
      <c r="F18" s="59"/>
      <c r="G18" s="59"/>
      <c r="H18" s="59"/>
      <c r="I18" s="59"/>
      <c r="J18" s="59"/>
      <c r="K18" s="59"/>
      <c r="L18" s="59"/>
      <c r="M18" s="59"/>
      <c r="N18" s="59"/>
      <c r="O18" s="59"/>
      <c r="P18" s="59"/>
      <c r="Q18" s="59"/>
      <c r="R18" s="59">
        <f t="shared" si="1"/>
        <v>0</v>
      </c>
      <c r="S18" s="59"/>
      <c r="T18" s="59">
        <f t="shared" si="2"/>
        <v>0</v>
      </c>
      <c r="U18" s="59"/>
      <c r="V18" s="59"/>
      <c r="W18" s="59"/>
      <c r="X18" s="59"/>
      <c r="Y18" s="59"/>
      <c r="Z18" s="59"/>
      <c r="AA18" s="59"/>
      <c r="AB18" s="59"/>
      <c r="AC18" s="59"/>
      <c r="AD18" s="59"/>
      <c r="AE18" s="59"/>
      <c r="AF18" s="59"/>
      <c r="AG18" s="59"/>
      <c r="AH18" s="59"/>
      <c r="AI18" s="59"/>
      <c r="AJ18" s="59"/>
      <c r="AK18" s="59"/>
      <c r="AL18" s="59"/>
      <c r="AM18" s="59"/>
      <c r="AN18" s="59"/>
      <c r="AO18" s="59"/>
      <c r="AP18" s="59"/>
      <c r="AQ18" s="59"/>
      <c r="AR18" s="59"/>
      <c r="AS18" s="59"/>
      <c r="AT18" s="59"/>
      <c r="AU18" s="59"/>
      <c r="AV18" s="61"/>
      <c r="AW18" s="61"/>
      <c r="AX18" s="58"/>
      <c r="AY18" s="61"/>
      <c r="AZ18" s="58"/>
      <c r="BA18" s="59">
        <v>161000</v>
      </c>
      <c r="BB18" s="59">
        <v>113000</v>
      </c>
      <c r="BC18" s="59"/>
      <c r="BD18" s="62"/>
      <c r="BE18" s="59"/>
      <c r="BF18" s="58"/>
      <c r="BG18" s="59">
        <v>6000000</v>
      </c>
    </row>
    <row r="19" spans="1:59" ht="15.75" x14ac:dyDescent="0.25">
      <c r="A19" s="155" t="s">
        <v>250</v>
      </c>
      <c r="B19" s="59"/>
      <c r="C19" s="59"/>
      <c r="D19" s="59"/>
      <c r="E19" s="59"/>
      <c r="F19" s="59"/>
      <c r="G19" s="59"/>
      <c r="H19" s="59"/>
      <c r="I19" s="59"/>
      <c r="J19" s="59"/>
      <c r="K19" s="59"/>
      <c r="L19" s="59"/>
      <c r="M19" s="59"/>
      <c r="N19" s="59"/>
      <c r="O19" s="59"/>
      <c r="P19" s="59"/>
      <c r="Q19" s="59"/>
      <c r="R19" s="59">
        <f t="shared" si="1"/>
        <v>0</v>
      </c>
      <c r="S19" s="59"/>
      <c r="T19" s="59">
        <f t="shared" si="2"/>
        <v>0</v>
      </c>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v>167500</v>
      </c>
      <c r="AU19" s="59">
        <v>850000</v>
      </c>
      <c r="AV19" s="61">
        <v>269500</v>
      </c>
      <c r="AW19" s="61">
        <v>1422900</v>
      </c>
      <c r="AX19" s="58"/>
      <c r="AY19" s="61">
        <v>1200000</v>
      </c>
      <c r="AZ19" s="58"/>
      <c r="BA19" s="59"/>
      <c r="BB19" s="59"/>
      <c r="BC19" s="59"/>
      <c r="BD19" s="62"/>
      <c r="BE19" s="59"/>
      <c r="BF19" s="58"/>
      <c r="BG19" s="59"/>
    </row>
    <row r="20" spans="1:59" ht="15.75" x14ac:dyDescent="0.25">
      <c r="A20" s="155" t="s">
        <v>115</v>
      </c>
      <c r="B20" s="59"/>
      <c r="C20" s="59"/>
      <c r="D20" s="59"/>
      <c r="E20" s="59"/>
      <c r="F20" s="59"/>
      <c r="G20" s="59"/>
      <c r="H20" s="59"/>
      <c r="I20" s="59"/>
      <c r="J20" s="59"/>
      <c r="K20" s="59"/>
      <c r="L20" s="59"/>
      <c r="M20" s="59"/>
      <c r="N20" s="59"/>
      <c r="O20" s="59"/>
      <c r="P20" s="59"/>
      <c r="Q20" s="59"/>
      <c r="R20" s="59">
        <f t="shared" si="1"/>
        <v>0</v>
      </c>
      <c r="S20" s="59"/>
      <c r="T20" s="59">
        <f t="shared" si="2"/>
        <v>0</v>
      </c>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61"/>
      <c r="AW20" s="61"/>
      <c r="AX20" s="58"/>
      <c r="AY20" s="61"/>
      <c r="AZ20" s="58"/>
      <c r="BA20" s="59">
        <v>20000</v>
      </c>
      <c r="BB20" s="59"/>
      <c r="BC20" s="59"/>
      <c r="BD20" s="62"/>
      <c r="BE20" s="59"/>
      <c r="BF20" s="58"/>
      <c r="BG20" s="59"/>
    </row>
    <row r="21" spans="1:59" ht="15.75" x14ac:dyDescent="0.25">
      <c r="A21" s="155" t="s">
        <v>584</v>
      </c>
      <c r="B21" s="59"/>
      <c r="C21" s="59"/>
      <c r="D21" s="59"/>
      <c r="E21" s="59"/>
      <c r="F21" s="59"/>
      <c r="G21" s="59"/>
      <c r="H21" s="59"/>
      <c r="I21" s="59"/>
      <c r="J21" s="59"/>
      <c r="K21" s="59"/>
      <c r="L21" s="59"/>
      <c r="M21" s="59"/>
      <c r="N21" s="59"/>
      <c r="O21" s="59"/>
      <c r="P21" s="59"/>
      <c r="Q21" s="59"/>
      <c r="R21" s="59">
        <f t="shared" si="1"/>
        <v>0</v>
      </c>
      <c r="S21" s="59"/>
      <c r="T21" s="59">
        <f t="shared" si="2"/>
        <v>0</v>
      </c>
      <c r="U21" s="59"/>
      <c r="V21" s="59"/>
      <c r="W21" s="59"/>
      <c r="X21" s="59"/>
      <c r="Y21" s="59"/>
      <c r="Z21" s="59"/>
      <c r="AA21" s="59"/>
      <c r="AB21" s="59">
        <v>7520</v>
      </c>
      <c r="AC21" s="59">
        <v>6620</v>
      </c>
      <c r="AD21" s="59"/>
      <c r="AE21" s="59"/>
      <c r="AF21" s="59"/>
      <c r="AG21" s="59"/>
      <c r="AH21" s="59"/>
      <c r="AI21" s="59"/>
      <c r="AJ21" s="59"/>
      <c r="AK21" s="59"/>
      <c r="AL21" s="59"/>
      <c r="AM21" s="59"/>
      <c r="AN21" s="59"/>
      <c r="AO21" s="59"/>
      <c r="AP21" s="59"/>
      <c r="AQ21" s="59"/>
      <c r="AR21" s="59"/>
      <c r="AS21" s="59"/>
      <c r="AT21" s="59"/>
      <c r="AU21" s="59"/>
      <c r="AV21" s="61"/>
      <c r="AW21" s="61"/>
      <c r="AX21" s="58"/>
      <c r="AY21" s="61"/>
      <c r="AZ21" s="58"/>
      <c r="BA21" s="59"/>
      <c r="BB21" s="59"/>
      <c r="BC21" s="59"/>
      <c r="BD21" s="62"/>
      <c r="BE21" s="59"/>
      <c r="BF21" s="58"/>
      <c r="BG21" s="59"/>
    </row>
    <row r="22" spans="1:59" ht="15.75" x14ac:dyDescent="0.25">
      <c r="A22" s="127" t="s">
        <v>1000</v>
      </c>
      <c r="B22" s="59"/>
      <c r="C22" s="59"/>
      <c r="D22" s="59"/>
      <c r="E22" s="59"/>
      <c r="F22" s="59"/>
      <c r="G22" s="59"/>
      <c r="H22" s="59"/>
      <c r="I22" s="59"/>
      <c r="J22" s="59"/>
      <c r="K22" s="59"/>
      <c r="L22" s="59"/>
      <c r="M22" s="59"/>
      <c r="N22" s="59"/>
      <c r="O22" s="59"/>
      <c r="P22" s="59"/>
      <c r="Q22" s="59"/>
      <c r="R22" s="59">
        <f t="shared" si="1"/>
        <v>0</v>
      </c>
      <c r="S22" s="59"/>
      <c r="T22" s="59">
        <f t="shared" si="2"/>
        <v>0</v>
      </c>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61"/>
      <c r="AW22" s="61"/>
      <c r="AX22" s="58"/>
      <c r="AY22" s="61"/>
      <c r="AZ22" s="58"/>
      <c r="BA22" s="59">
        <f>1700000+495000</f>
        <v>2195000</v>
      </c>
      <c r="BB22" s="59">
        <v>827500</v>
      </c>
      <c r="BC22" s="59"/>
      <c r="BD22" s="62"/>
      <c r="BE22" s="59"/>
      <c r="BF22" s="58"/>
      <c r="BG22" s="59"/>
    </row>
    <row r="23" spans="1:59" ht="15.75" x14ac:dyDescent="0.25">
      <c r="A23" s="127" t="s">
        <v>600</v>
      </c>
      <c r="B23" s="59"/>
      <c r="C23" s="59"/>
      <c r="D23" s="59"/>
      <c r="E23" s="59"/>
      <c r="F23" s="59"/>
      <c r="G23" s="59"/>
      <c r="H23" s="59"/>
      <c r="I23" s="59"/>
      <c r="J23" s="59"/>
      <c r="K23" s="59"/>
      <c r="L23" s="59"/>
      <c r="M23" s="59"/>
      <c r="N23" s="59"/>
      <c r="O23" s="59"/>
      <c r="P23" s="59"/>
      <c r="Q23" s="59"/>
      <c r="R23" s="59">
        <f t="shared" si="1"/>
        <v>0</v>
      </c>
      <c r="S23" s="59">
        <f>12000+16000</f>
        <v>28000</v>
      </c>
      <c r="T23" s="59">
        <f t="shared" si="2"/>
        <v>22400</v>
      </c>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61"/>
      <c r="AW23" s="61"/>
      <c r="AX23" s="58"/>
      <c r="AY23" s="61"/>
      <c r="AZ23" s="58"/>
      <c r="BA23" s="59"/>
      <c r="BB23" s="59"/>
      <c r="BC23" s="59"/>
      <c r="BD23" s="62"/>
      <c r="BE23" s="59"/>
      <c r="BF23" s="58"/>
      <c r="BG23" s="59"/>
    </row>
    <row r="24" spans="1:59" ht="15.75" x14ac:dyDescent="0.25">
      <c r="A24" s="127" t="s">
        <v>601</v>
      </c>
      <c r="B24" s="59"/>
      <c r="C24" s="59"/>
      <c r="D24" s="59"/>
      <c r="E24" s="59"/>
      <c r="F24" s="59"/>
      <c r="G24" s="59"/>
      <c r="H24" s="59"/>
      <c r="I24" s="59"/>
      <c r="J24" s="59"/>
      <c r="K24" s="59"/>
      <c r="L24" s="59"/>
      <c r="M24" s="59"/>
      <c r="N24" s="59"/>
      <c r="O24" s="59"/>
      <c r="P24" s="59"/>
      <c r="Q24" s="59"/>
      <c r="R24" s="59">
        <f t="shared" si="1"/>
        <v>0</v>
      </c>
      <c r="S24" s="59"/>
      <c r="T24" s="59">
        <f t="shared" si="2"/>
        <v>0</v>
      </c>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61"/>
      <c r="AW24" s="61"/>
      <c r="AX24" s="58"/>
      <c r="AY24" s="61"/>
      <c r="AZ24" s="58"/>
      <c r="BA24" s="59"/>
      <c r="BB24" s="59"/>
      <c r="BC24" s="59"/>
      <c r="BD24" s="62"/>
      <c r="BE24" s="59">
        <v>448000</v>
      </c>
      <c r="BF24" s="58"/>
      <c r="BG24" s="59">
        <v>800000</v>
      </c>
    </row>
    <row r="25" spans="1:59" ht="15.75" x14ac:dyDescent="0.25">
      <c r="A25" s="127" t="s">
        <v>609</v>
      </c>
      <c r="B25" s="59"/>
      <c r="C25" s="59"/>
      <c r="D25" s="59"/>
      <c r="E25" s="59"/>
      <c r="F25" s="59"/>
      <c r="G25" s="59"/>
      <c r="H25" s="59"/>
      <c r="I25" s="59"/>
      <c r="J25" s="59"/>
      <c r="K25" s="59"/>
      <c r="L25" s="59"/>
      <c r="M25" s="59"/>
      <c r="N25" s="59"/>
      <c r="O25" s="59"/>
      <c r="P25" s="59"/>
      <c r="Q25" s="59"/>
      <c r="R25" s="59">
        <f t="shared" si="1"/>
        <v>0</v>
      </c>
      <c r="S25" s="59"/>
      <c r="T25" s="59">
        <f t="shared" si="2"/>
        <v>0</v>
      </c>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61"/>
      <c r="AW25" s="61"/>
      <c r="AX25" s="58"/>
      <c r="AY25" s="61"/>
      <c r="AZ25" s="58"/>
      <c r="BA25" s="59"/>
      <c r="BB25" s="59">
        <v>20000</v>
      </c>
      <c r="BC25" s="59"/>
      <c r="BD25" s="62"/>
      <c r="BE25" s="59"/>
      <c r="BF25" s="58"/>
      <c r="BG25" s="59"/>
    </row>
    <row r="26" spans="1:59" ht="15.75" x14ac:dyDescent="0.25">
      <c r="A26" s="127" t="s">
        <v>604</v>
      </c>
      <c r="B26" s="59"/>
      <c r="C26" s="59"/>
      <c r="D26" s="59"/>
      <c r="E26" s="59"/>
      <c r="F26" s="59"/>
      <c r="G26" s="59"/>
      <c r="H26" s="59"/>
      <c r="I26" s="59"/>
      <c r="J26" s="59"/>
      <c r="K26" s="59"/>
      <c r="L26" s="59"/>
      <c r="M26" s="59"/>
      <c r="N26" s="59"/>
      <c r="O26" s="59"/>
      <c r="P26" s="59"/>
      <c r="Q26" s="59"/>
      <c r="R26" s="59">
        <f t="shared" si="1"/>
        <v>0</v>
      </c>
      <c r="S26" s="59"/>
      <c r="T26" s="59">
        <f t="shared" si="2"/>
        <v>0</v>
      </c>
      <c r="U26" s="59"/>
      <c r="V26" s="59"/>
      <c r="W26" s="59"/>
      <c r="X26" s="59"/>
      <c r="Y26" s="59"/>
      <c r="Z26" s="59"/>
      <c r="AA26" s="59"/>
      <c r="AB26" s="59"/>
      <c r="AC26" s="59"/>
      <c r="AD26" s="59"/>
      <c r="AE26" s="59"/>
      <c r="AF26" s="59"/>
      <c r="AG26" s="59"/>
      <c r="AH26" s="59"/>
      <c r="AI26" s="59"/>
      <c r="AJ26" s="59"/>
      <c r="AK26" s="59"/>
      <c r="AL26" s="59"/>
      <c r="AM26" s="59"/>
      <c r="AN26" s="59"/>
      <c r="AO26" s="59"/>
      <c r="AP26" s="59"/>
      <c r="AQ26" s="59"/>
      <c r="AR26" s="59"/>
      <c r="AS26" s="59"/>
      <c r="AT26" s="59"/>
      <c r="AU26" s="59"/>
      <c r="AV26" s="61"/>
      <c r="AW26" s="61"/>
      <c r="AX26" s="58"/>
      <c r="AY26" s="61"/>
      <c r="AZ26" s="58"/>
      <c r="BA26" s="59">
        <v>180000</v>
      </c>
      <c r="BB26" s="59">
        <v>40000</v>
      </c>
      <c r="BC26" s="59"/>
      <c r="BD26" s="62"/>
      <c r="BE26" s="59"/>
      <c r="BF26" s="58"/>
      <c r="BG26" s="59"/>
    </row>
    <row r="27" spans="1:59" ht="15.75" x14ac:dyDescent="0.25">
      <c r="A27" s="127" t="s">
        <v>603</v>
      </c>
      <c r="B27" s="59"/>
      <c r="C27" s="59"/>
      <c r="D27" s="59"/>
      <c r="E27" s="59"/>
      <c r="F27" s="59"/>
      <c r="G27" s="59"/>
      <c r="H27" s="59"/>
      <c r="I27" s="59"/>
      <c r="J27" s="59"/>
      <c r="K27" s="59"/>
      <c r="L27" s="59"/>
      <c r="M27" s="59"/>
      <c r="N27" s="59"/>
      <c r="O27" s="59"/>
      <c r="P27" s="59"/>
      <c r="Q27" s="59"/>
      <c r="R27" s="59">
        <f t="shared" si="1"/>
        <v>0</v>
      </c>
      <c r="S27" s="59"/>
      <c r="T27" s="59">
        <f t="shared" si="2"/>
        <v>0</v>
      </c>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61"/>
      <c r="AW27" s="61"/>
      <c r="AX27" s="58"/>
      <c r="AY27" s="61"/>
      <c r="AZ27" s="58"/>
      <c r="BA27" s="59"/>
      <c r="BB27" s="59">
        <v>155000</v>
      </c>
      <c r="BC27" s="59"/>
      <c r="BD27" s="62"/>
      <c r="BE27" s="59"/>
      <c r="BF27" s="58"/>
      <c r="BG27" s="59"/>
    </row>
    <row r="28" spans="1:59" ht="15.75" x14ac:dyDescent="0.25">
      <c r="A28" s="87" t="s">
        <v>1373</v>
      </c>
      <c r="B28" s="59"/>
      <c r="C28" s="59">
        <v>20000</v>
      </c>
      <c r="D28" s="59"/>
      <c r="E28" s="59">
        <v>12000</v>
      </c>
      <c r="F28" s="59">
        <v>7000</v>
      </c>
      <c r="G28" s="59"/>
      <c r="H28" s="59">
        <v>12000</v>
      </c>
      <c r="I28" s="59">
        <v>4000</v>
      </c>
      <c r="J28" s="59">
        <v>20000</v>
      </c>
      <c r="K28" s="59">
        <v>24000</v>
      </c>
      <c r="L28" s="59"/>
      <c r="M28" s="59"/>
      <c r="N28" s="59"/>
      <c r="O28" s="59"/>
      <c r="P28" s="59"/>
      <c r="Q28" s="59">
        <f>28000+44000</f>
        <v>72000</v>
      </c>
      <c r="R28" s="59">
        <f t="shared" si="1"/>
        <v>57600</v>
      </c>
      <c r="S28" s="59"/>
      <c r="T28" s="59">
        <f t="shared" si="2"/>
        <v>0</v>
      </c>
      <c r="U28" s="59"/>
      <c r="V28" s="59"/>
      <c r="W28" s="59">
        <v>20000</v>
      </c>
      <c r="X28" s="59">
        <v>12000</v>
      </c>
      <c r="Y28" s="59"/>
      <c r="Z28" s="59">
        <v>86000</v>
      </c>
      <c r="AA28" s="59">
        <v>24000</v>
      </c>
      <c r="AB28" s="59">
        <v>276000</v>
      </c>
      <c r="AC28" s="59">
        <v>11000</v>
      </c>
      <c r="AD28" s="59"/>
      <c r="AE28" s="59"/>
      <c r="AF28" s="59"/>
      <c r="AG28" s="59"/>
      <c r="AH28" s="59"/>
      <c r="AI28" s="59"/>
      <c r="AJ28" s="59"/>
      <c r="AK28" s="59"/>
      <c r="AL28" s="59"/>
      <c r="AM28" s="59"/>
      <c r="AN28" s="59"/>
      <c r="AO28" s="59"/>
      <c r="AP28" s="59"/>
      <c r="AQ28" s="59"/>
      <c r="AR28" s="59">
        <v>20000</v>
      </c>
      <c r="AS28" s="59">
        <v>60000</v>
      </c>
      <c r="AT28" s="59"/>
      <c r="AU28" s="59"/>
      <c r="AV28" s="61"/>
      <c r="AW28" s="61"/>
      <c r="AX28" s="58"/>
      <c r="AY28" s="61"/>
      <c r="AZ28" s="58"/>
      <c r="BA28" s="59"/>
      <c r="BB28" s="59"/>
      <c r="BC28" s="59"/>
      <c r="BD28" s="62"/>
      <c r="BE28" s="59">
        <v>360000</v>
      </c>
      <c r="BF28" s="58"/>
      <c r="BG28" s="59"/>
    </row>
    <row r="29" spans="1:59" ht="31.5" x14ac:dyDescent="0.25">
      <c r="A29" s="127" t="s">
        <v>1001</v>
      </c>
      <c r="B29" s="59">
        <f>271100+166800</f>
        <v>437900</v>
      </c>
      <c r="C29" s="59">
        <f>184240+130320</f>
        <v>314560</v>
      </c>
      <c r="D29" s="59">
        <v>142040</v>
      </c>
      <c r="E29" s="59">
        <f>83600+61360+9860</f>
        <v>154820</v>
      </c>
      <c r="F29" s="59">
        <f>19120+39800+41720</f>
        <v>100640</v>
      </c>
      <c r="G29" s="59"/>
      <c r="H29" s="59">
        <v>158430</v>
      </c>
      <c r="I29" s="59">
        <v>130990</v>
      </c>
      <c r="J29" s="59">
        <v>166600</v>
      </c>
      <c r="K29" s="59">
        <v>175050</v>
      </c>
      <c r="L29" s="59"/>
      <c r="M29" s="59"/>
      <c r="N29" s="59"/>
      <c r="O29" s="59"/>
      <c r="P29" s="59">
        <v>138250</v>
      </c>
      <c r="Q29" s="59">
        <f>161200+77400</f>
        <v>238600</v>
      </c>
      <c r="R29" s="59">
        <f t="shared" si="1"/>
        <v>190880</v>
      </c>
      <c r="S29" s="59">
        <f>(40000+40000+40000)+(30400+43200+36800)+(11200+16640)</f>
        <v>258240</v>
      </c>
      <c r="T29" s="59">
        <f t="shared" si="2"/>
        <v>206592</v>
      </c>
      <c r="U29" s="59"/>
      <c r="V29" s="59">
        <v>350000</v>
      </c>
      <c r="W29" s="59">
        <v>361270</v>
      </c>
      <c r="X29" s="59">
        <v>401820</v>
      </c>
      <c r="Y29" s="59">
        <v>360380</v>
      </c>
      <c r="Z29" s="59">
        <v>338740</v>
      </c>
      <c r="AA29" s="59">
        <v>361940</v>
      </c>
      <c r="AB29" s="59">
        <v>349560</v>
      </c>
      <c r="AC29" s="59">
        <v>169365</v>
      </c>
      <c r="AD29" s="59">
        <v>265720</v>
      </c>
      <c r="AE29" s="59">
        <v>180050</v>
      </c>
      <c r="AF29" s="59">
        <v>255000</v>
      </c>
      <c r="AG29" s="59">
        <v>95760</v>
      </c>
      <c r="AH29" s="59">
        <v>270000</v>
      </c>
      <c r="AI29" s="59">
        <v>245510</v>
      </c>
      <c r="AJ29" s="59">
        <v>302290</v>
      </c>
      <c r="AK29" s="59">
        <v>220000</v>
      </c>
      <c r="AL29" s="59">
        <v>551450</v>
      </c>
      <c r="AM29" s="59">
        <f>502650</f>
        <v>502650</v>
      </c>
      <c r="AN29" s="59"/>
      <c r="AO29" s="59"/>
      <c r="AP29" s="59">
        <v>373700</v>
      </c>
      <c r="AQ29" s="59"/>
      <c r="AR29" s="59"/>
      <c r="AS29" s="59"/>
      <c r="AT29" s="59"/>
      <c r="AU29" s="59"/>
      <c r="AV29" s="61"/>
      <c r="AW29" s="61"/>
      <c r="AX29" s="58"/>
      <c r="AY29" s="61"/>
      <c r="AZ29" s="58"/>
      <c r="BA29" s="59"/>
      <c r="BB29" s="59"/>
      <c r="BC29" s="59"/>
      <c r="BD29" s="62"/>
      <c r="BE29" s="59"/>
      <c r="BF29" s="58"/>
      <c r="BG29" s="59"/>
    </row>
    <row r="30" spans="1:59" ht="15.75" x14ac:dyDescent="0.25">
      <c r="A30" s="75" t="s">
        <v>145</v>
      </c>
      <c r="B30" s="59"/>
      <c r="C30" s="59"/>
      <c r="D30" s="59"/>
      <c r="E30" s="59"/>
      <c r="F30" s="59"/>
      <c r="G30" s="59"/>
      <c r="H30" s="59"/>
      <c r="I30" s="59"/>
      <c r="J30" s="59"/>
      <c r="K30" s="59"/>
      <c r="L30" s="59"/>
      <c r="M30" s="59"/>
      <c r="N30" s="59"/>
      <c r="O30" s="59"/>
      <c r="P30" s="59"/>
      <c r="Q30" s="59"/>
      <c r="R30" s="59">
        <f t="shared" si="1"/>
        <v>0</v>
      </c>
      <c r="S30" s="59"/>
      <c r="T30" s="59">
        <f t="shared" si="2"/>
        <v>0</v>
      </c>
      <c r="U30" s="59"/>
      <c r="V30" s="59"/>
      <c r="W30" s="59"/>
      <c r="X30" s="59"/>
      <c r="Y30" s="59"/>
      <c r="Z30" s="59"/>
      <c r="AA30" s="59"/>
      <c r="AB30" s="59"/>
      <c r="AC30" s="59"/>
      <c r="AD30" s="59"/>
      <c r="AE30" s="59"/>
      <c r="AF30" s="59"/>
      <c r="AG30" s="59"/>
      <c r="AH30" s="59"/>
      <c r="AI30" s="59"/>
      <c r="AJ30" s="59"/>
      <c r="AK30" s="59"/>
      <c r="AL30" s="59"/>
      <c r="AM30" s="59"/>
      <c r="AN30" s="59"/>
      <c r="AO30" s="59"/>
      <c r="AP30" s="59"/>
      <c r="AQ30" s="59">
        <v>268000</v>
      </c>
      <c r="AR30" s="59">
        <v>228000</v>
      </c>
      <c r="AS30" s="59">
        <v>8000</v>
      </c>
      <c r="AT30" s="59"/>
      <c r="AU30" s="59"/>
      <c r="AV30" s="61"/>
      <c r="AW30" s="61"/>
      <c r="AX30" s="58"/>
      <c r="AY30" s="61"/>
      <c r="AZ30" s="58"/>
      <c r="BA30" s="59"/>
      <c r="BB30" s="59"/>
      <c r="BC30" s="59"/>
      <c r="BD30" s="62"/>
      <c r="BE30" s="59"/>
      <c r="BF30" s="58"/>
      <c r="BG30" s="59"/>
    </row>
    <row r="31" spans="1:59" ht="15.75" x14ac:dyDescent="0.25">
      <c r="A31" s="127" t="s">
        <v>775</v>
      </c>
      <c r="B31" s="59"/>
      <c r="C31" s="59"/>
      <c r="D31" s="59"/>
      <c r="E31" s="59"/>
      <c r="F31" s="59"/>
      <c r="G31" s="59"/>
      <c r="H31" s="59"/>
      <c r="I31" s="59"/>
      <c r="J31" s="59"/>
      <c r="K31" s="59"/>
      <c r="L31" s="59"/>
      <c r="M31" s="59"/>
      <c r="N31" s="59"/>
      <c r="O31" s="59"/>
      <c r="P31" s="59"/>
      <c r="Q31" s="59"/>
      <c r="R31" s="59">
        <f t="shared" si="1"/>
        <v>0</v>
      </c>
      <c r="S31" s="59"/>
      <c r="T31" s="59">
        <f t="shared" si="2"/>
        <v>0</v>
      </c>
      <c r="U31" s="59"/>
      <c r="V31" s="59"/>
      <c r="W31" s="59"/>
      <c r="X31" s="59"/>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61"/>
      <c r="AW31" s="61"/>
      <c r="AX31" s="58"/>
      <c r="AY31" s="61"/>
      <c r="AZ31" s="58"/>
      <c r="BA31" s="59">
        <v>820000</v>
      </c>
      <c r="BB31" s="59">
        <v>1365000</v>
      </c>
      <c r="BC31" s="59"/>
      <c r="BD31" s="62"/>
      <c r="BE31" s="59"/>
      <c r="BF31" s="58"/>
      <c r="BG31" s="59"/>
    </row>
    <row r="32" spans="1:59" ht="31.5" x14ac:dyDescent="0.25">
      <c r="A32" s="127" t="s">
        <v>776</v>
      </c>
      <c r="B32" s="59"/>
      <c r="C32" s="59"/>
      <c r="D32" s="59"/>
      <c r="E32" s="59"/>
      <c r="F32" s="59"/>
      <c r="G32" s="59"/>
      <c r="H32" s="59"/>
      <c r="I32" s="59"/>
      <c r="J32" s="59"/>
      <c r="K32" s="59"/>
      <c r="L32" s="59"/>
      <c r="M32" s="59"/>
      <c r="N32" s="59"/>
      <c r="O32" s="59"/>
      <c r="P32" s="59"/>
      <c r="Q32" s="59"/>
      <c r="R32" s="59">
        <f t="shared" si="1"/>
        <v>0</v>
      </c>
      <c r="S32" s="59"/>
      <c r="T32" s="59">
        <f t="shared" si="2"/>
        <v>0</v>
      </c>
      <c r="U32" s="59"/>
      <c r="V32" s="59"/>
      <c r="W32" s="59"/>
      <c r="X32" s="59"/>
      <c r="Y32" s="59"/>
      <c r="Z32" s="59"/>
      <c r="AA32" s="59"/>
      <c r="AB32" s="59"/>
      <c r="AC32" s="59"/>
      <c r="AD32" s="59"/>
      <c r="AE32" s="59"/>
      <c r="AF32" s="59"/>
      <c r="AG32" s="59"/>
      <c r="AH32" s="59"/>
      <c r="AI32" s="59"/>
      <c r="AJ32" s="59"/>
      <c r="AK32" s="59"/>
      <c r="AL32" s="59"/>
      <c r="AM32" s="59"/>
      <c r="AN32" s="59"/>
      <c r="AO32" s="59"/>
      <c r="AP32" s="59"/>
      <c r="AQ32" s="59"/>
      <c r="AR32" s="59"/>
      <c r="AS32" s="59"/>
      <c r="AT32" s="59"/>
      <c r="AU32" s="59"/>
      <c r="AV32" s="61"/>
      <c r="AW32" s="61"/>
      <c r="AX32" s="58"/>
      <c r="AY32" s="61"/>
      <c r="AZ32" s="58"/>
      <c r="BA32" s="59"/>
      <c r="BB32" s="59"/>
      <c r="BC32" s="59"/>
      <c r="BD32" s="62"/>
      <c r="BE32" s="59">
        <v>4871890</v>
      </c>
      <c r="BF32" s="58"/>
      <c r="BG32" s="59"/>
    </row>
    <row r="33" spans="1:59" ht="15.75" x14ac:dyDescent="0.25">
      <c r="A33" s="127" t="s">
        <v>977</v>
      </c>
      <c r="B33" s="59"/>
      <c r="C33" s="59"/>
      <c r="D33" s="59"/>
      <c r="E33" s="59"/>
      <c r="F33" s="59"/>
      <c r="G33" s="59"/>
      <c r="H33" s="59"/>
      <c r="I33" s="59"/>
      <c r="J33" s="59"/>
      <c r="K33" s="59"/>
      <c r="L33" s="59"/>
      <c r="M33" s="59"/>
      <c r="N33" s="59"/>
      <c r="O33" s="59"/>
      <c r="P33" s="59"/>
      <c r="Q33" s="59"/>
      <c r="R33" s="59">
        <f t="shared" si="1"/>
        <v>0</v>
      </c>
      <c r="S33" s="59"/>
      <c r="T33" s="59">
        <f t="shared" si="2"/>
        <v>0</v>
      </c>
      <c r="U33" s="59"/>
      <c r="V33" s="59"/>
      <c r="W33" s="59"/>
      <c r="X33" s="59"/>
      <c r="Y33" s="59"/>
      <c r="Z33" s="59"/>
      <c r="AA33" s="59"/>
      <c r="AB33" s="59"/>
      <c r="AC33" s="59"/>
      <c r="AD33" s="59"/>
      <c r="AE33" s="59"/>
      <c r="AF33" s="59"/>
      <c r="AG33" s="59"/>
      <c r="AH33" s="59"/>
      <c r="AI33" s="59"/>
      <c r="AJ33" s="59"/>
      <c r="AK33" s="59"/>
      <c r="AL33" s="59"/>
      <c r="AM33" s="59"/>
      <c r="AN33" s="59"/>
      <c r="AO33" s="59">
        <v>211200</v>
      </c>
      <c r="AP33" s="59"/>
      <c r="AQ33" s="59">
        <v>151000</v>
      </c>
      <c r="AR33" s="59">
        <v>217800</v>
      </c>
      <c r="AS33" s="59"/>
      <c r="AT33" s="59">
        <v>549600</v>
      </c>
      <c r="AU33" s="59">
        <v>550000</v>
      </c>
      <c r="AV33" s="61">
        <v>1208500</v>
      </c>
      <c r="AW33" s="61">
        <v>483480</v>
      </c>
      <c r="AX33" s="58"/>
      <c r="AY33" s="61">
        <v>800000</v>
      </c>
      <c r="AZ33" s="58"/>
      <c r="BA33" s="59"/>
      <c r="BB33" s="59"/>
      <c r="BC33" s="59"/>
      <c r="BD33" s="62"/>
      <c r="BE33" s="59">
        <v>1417800</v>
      </c>
      <c r="BF33" s="58"/>
      <c r="BG33" s="59">
        <v>6200000</v>
      </c>
    </row>
    <row r="34" spans="1:59" ht="15.75" x14ac:dyDescent="0.25">
      <c r="A34" s="127" t="s">
        <v>978</v>
      </c>
      <c r="B34" s="59"/>
      <c r="C34" s="59"/>
      <c r="D34" s="59"/>
      <c r="E34" s="59"/>
      <c r="F34" s="59"/>
      <c r="G34" s="59"/>
      <c r="H34" s="59"/>
      <c r="I34" s="59"/>
      <c r="J34" s="59"/>
      <c r="K34" s="59"/>
      <c r="L34" s="59"/>
      <c r="M34" s="59"/>
      <c r="N34" s="59"/>
      <c r="O34" s="59"/>
      <c r="P34" s="59"/>
      <c r="Q34" s="59"/>
      <c r="R34" s="59">
        <f t="shared" si="1"/>
        <v>0</v>
      </c>
      <c r="S34" s="59"/>
      <c r="T34" s="59">
        <f t="shared" si="2"/>
        <v>0</v>
      </c>
      <c r="U34" s="59"/>
      <c r="V34" s="59"/>
      <c r="W34" s="59"/>
      <c r="X34" s="59"/>
      <c r="Y34" s="59"/>
      <c r="Z34" s="59"/>
      <c r="AA34" s="59"/>
      <c r="AB34" s="59"/>
      <c r="AC34" s="59"/>
      <c r="AD34" s="59"/>
      <c r="AE34" s="59"/>
      <c r="AF34" s="59"/>
      <c r="AG34" s="59"/>
      <c r="AH34" s="59"/>
      <c r="AI34" s="59"/>
      <c r="AJ34" s="59"/>
      <c r="AK34" s="59"/>
      <c r="AL34" s="59"/>
      <c r="AM34" s="59"/>
      <c r="AN34" s="59">
        <v>86800</v>
      </c>
      <c r="AO34" s="59"/>
      <c r="AP34" s="59">
        <v>188000</v>
      </c>
      <c r="AQ34" s="59"/>
      <c r="AR34" s="59"/>
      <c r="AS34" s="59">
        <v>240500</v>
      </c>
      <c r="AT34" s="59"/>
      <c r="AU34" s="59"/>
      <c r="AV34" s="61"/>
      <c r="AW34" s="61"/>
      <c r="AX34" s="58"/>
      <c r="AY34" s="61"/>
      <c r="AZ34" s="58"/>
      <c r="BA34" s="59"/>
      <c r="BB34" s="59"/>
      <c r="BC34" s="59"/>
      <c r="BD34" s="62"/>
      <c r="BE34" s="59"/>
      <c r="BF34" s="58"/>
      <c r="BG34" s="59"/>
    </row>
    <row r="35" spans="1:59" ht="15.75" x14ac:dyDescent="0.25">
      <c r="A35" s="127" t="s">
        <v>585</v>
      </c>
      <c r="B35" s="59"/>
      <c r="C35" s="59"/>
      <c r="D35" s="59"/>
      <c r="E35" s="59"/>
      <c r="F35" s="59"/>
      <c r="G35" s="59"/>
      <c r="H35" s="59"/>
      <c r="I35" s="59"/>
      <c r="J35" s="59"/>
      <c r="K35" s="59"/>
      <c r="L35" s="59"/>
      <c r="M35" s="59"/>
      <c r="N35" s="59"/>
      <c r="O35" s="59"/>
      <c r="P35" s="59"/>
      <c r="Q35" s="59"/>
      <c r="R35" s="59">
        <f t="shared" si="1"/>
        <v>0</v>
      </c>
      <c r="S35" s="59"/>
      <c r="T35" s="59">
        <f t="shared" si="2"/>
        <v>0</v>
      </c>
      <c r="U35" s="59"/>
      <c r="V35" s="59"/>
      <c r="W35" s="59"/>
      <c r="X35" s="59"/>
      <c r="Y35" s="59"/>
      <c r="Z35" s="59"/>
      <c r="AA35" s="59"/>
      <c r="AB35" s="59"/>
      <c r="AC35" s="59"/>
      <c r="AD35" s="59"/>
      <c r="AE35" s="59"/>
      <c r="AF35" s="59"/>
      <c r="AG35" s="59"/>
      <c r="AH35" s="59"/>
      <c r="AI35" s="59"/>
      <c r="AJ35" s="59"/>
      <c r="AK35" s="59"/>
      <c r="AL35" s="59"/>
      <c r="AM35" s="59"/>
      <c r="AN35" s="59"/>
      <c r="AO35" s="59"/>
      <c r="AP35" s="59"/>
      <c r="AQ35" s="59"/>
      <c r="AR35" s="59"/>
      <c r="AS35" s="59"/>
      <c r="AT35" s="59"/>
      <c r="AU35" s="59"/>
      <c r="AV35" s="61"/>
      <c r="AW35" s="61"/>
      <c r="AX35" s="58"/>
      <c r="AY35" s="61"/>
      <c r="AZ35" s="58"/>
      <c r="BA35" s="59">
        <v>20000</v>
      </c>
      <c r="BB35" s="59">
        <v>60000</v>
      </c>
      <c r="BC35" s="59"/>
      <c r="BD35" s="62"/>
      <c r="BE35" s="59"/>
      <c r="BF35" s="58"/>
      <c r="BG35" s="59"/>
    </row>
    <row r="36" spans="1:59" ht="31.5" x14ac:dyDescent="0.25">
      <c r="A36" s="127" t="s">
        <v>605</v>
      </c>
      <c r="B36" s="59"/>
      <c r="C36" s="59"/>
      <c r="D36" s="59"/>
      <c r="E36" s="59"/>
      <c r="F36" s="59"/>
      <c r="G36" s="59"/>
      <c r="H36" s="59"/>
      <c r="I36" s="59"/>
      <c r="J36" s="59"/>
      <c r="K36" s="59"/>
      <c r="L36" s="59"/>
      <c r="M36" s="59"/>
      <c r="N36" s="59"/>
      <c r="O36" s="59"/>
      <c r="P36" s="59">
        <v>318400</v>
      </c>
      <c r="Q36" s="59">
        <f>249600+52800+39901</f>
        <v>342301</v>
      </c>
      <c r="R36" s="59">
        <f t="shared" si="1"/>
        <v>273840.8</v>
      </c>
      <c r="S36" s="59">
        <f>147200+32000+44800+44800</f>
        <v>268800</v>
      </c>
      <c r="T36" s="59">
        <f t="shared" si="2"/>
        <v>215040</v>
      </c>
      <c r="U36" s="59"/>
      <c r="V36" s="59">
        <v>150000</v>
      </c>
      <c r="W36" s="59">
        <v>173200</v>
      </c>
      <c r="X36" s="59">
        <v>172800</v>
      </c>
      <c r="Y36" s="59">
        <v>268600</v>
      </c>
      <c r="Z36" s="59">
        <v>241000</v>
      </c>
      <c r="AA36" s="59">
        <v>326400</v>
      </c>
      <c r="AB36" s="59"/>
      <c r="AC36" s="59"/>
      <c r="AD36" s="59"/>
      <c r="AE36" s="59"/>
      <c r="AF36" s="59"/>
      <c r="AG36" s="59"/>
      <c r="AH36" s="59"/>
      <c r="AI36" s="59"/>
      <c r="AJ36" s="59"/>
      <c r="AK36" s="59"/>
      <c r="AL36" s="59"/>
      <c r="AM36" s="59"/>
      <c r="AN36" s="59"/>
      <c r="AO36" s="59"/>
      <c r="AP36" s="59"/>
      <c r="AQ36" s="59"/>
      <c r="AR36" s="59"/>
      <c r="AS36" s="59"/>
      <c r="AT36" s="59"/>
      <c r="AU36" s="59"/>
      <c r="AV36" s="61"/>
      <c r="AW36" s="61"/>
      <c r="AX36" s="58"/>
      <c r="AY36" s="61"/>
      <c r="AZ36" s="58"/>
      <c r="BA36" s="59"/>
      <c r="BB36" s="59"/>
      <c r="BC36" s="59"/>
      <c r="BD36" s="62"/>
      <c r="BE36" s="59"/>
      <c r="BF36" s="58"/>
      <c r="BG36" s="59"/>
    </row>
    <row r="37" spans="1:59" ht="15.75" x14ac:dyDescent="0.25">
      <c r="A37" s="127" t="s">
        <v>602</v>
      </c>
      <c r="B37" s="59"/>
      <c r="C37" s="59"/>
      <c r="D37" s="59"/>
      <c r="E37" s="59"/>
      <c r="F37" s="59"/>
      <c r="G37" s="59">
        <v>25200</v>
      </c>
      <c r="H37" s="59">
        <v>54000</v>
      </c>
      <c r="I37" s="59">
        <v>89000</v>
      </c>
      <c r="J37" s="59">
        <v>15000</v>
      </c>
      <c r="K37" s="59"/>
      <c r="L37" s="59"/>
      <c r="M37" s="59"/>
      <c r="N37" s="59"/>
      <c r="O37" s="59"/>
      <c r="P37" s="59"/>
      <c r="Q37" s="59"/>
      <c r="R37" s="59">
        <f t="shared" si="1"/>
        <v>0</v>
      </c>
      <c r="S37" s="59"/>
      <c r="T37" s="59">
        <f t="shared" si="2"/>
        <v>0</v>
      </c>
      <c r="U37" s="59"/>
      <c r="V37" s="59"/>
      <c r="W37" s="59">
        <v>40000</v>
      </c>
      <c r="X37" s="59"/>
      <c r="Y37" s="59"/>
      <c r="Z37" s="59"/>
      <c r="AA37" s="59"/>
      <c r="AB37" s="59"/>
      <c r="AC37" s="59">
        <v>50000</v>
      </c>
      <c r="AD37" s="59"/>
      <c r="AE37" s="59"/>
      <c r="AF37" s="59"/>
      <c r="AG37" s="59"/>
      <c r="AH37" s="59"/>
      <c r="AI37" s="59"/>
      <c r="AJ37" s="59"/>
      <c r="AK37" s="59"/>
      <c r="AL37" s="59"/>
      <c r="AM37" s="59"/>
      <c r="AN37" s="59"/>
      <c r="AO37" s="59"/>
      <c r="AP37" s="59"/>
      <c r="AQ37" s="59"/>
      <c r="AR37" s="59"/>
      <c r="AS37" s="59"/>
      <c r="AT37" s="59"/>
      <c r="AU37" s="59"/>
      <c r="AV37" s="61"/>
      <c r="AW37" s="61"/>
      <c r="AX37" s="58"/>
      <c r="AY37" s="61"/>
      <c r="AZ37" s="58"/>
      <c r="BA37" s="59"/>
      <c r="BB37" s="59">
        <v>200000</v>
      </c>
      <c r="BC37" s="59"/>
      <c r="BD37" s="62"/>
      <c r="BE37" s="59"/>
      <c r="BF37" s="58"/>
      <c r="BG37" s="59"/>
    </row>
    <row r="38" spans="1:59" ht="15.75" x14ac:dyDescent="0.25">
      <c r="A38" s="127" t="s">
        <v>608</v>
      </c>
      <c r="B38" s="59"/>
      <c r="C38" s="59"/>
      <c r="D38" s="59"/>
      <c r="E38" s="59"/>
      <c r="F38" s="59"/>
      <c r="G38" s="59"/>
      <c r="H38" s="59"/>
      <c r="I38" s="59"/>
      <c r="J38" s="59"/>
      <c r="K38" s="59"/>
      <c r="L38" s="59"/>
      <c r="M38" s="59"/>
      <c r="N38" s="59"/>
      <c r="O38" s="59"/>
      <c r="P38" s="59"/>
      <c r="Q38" s="59"/>
      <c r="R38" s="59">
        <f t="shared" si="1"/>
        <v>0</v>
      </c>
      <c r="S38" s="59"/>
      <c r="T38" s="59">
        <f t="shared" si="2"/>
        <v>0</v>
      </c>
      <c r="U38" s="59"/>
      <c r="V38" s="59"/>
      <c r="W38" s="59"/>
      <c r="X38" s="59"/>
      <c r="Y38" s="59"/>
      <c r="Z38" s="59"/>
      <c r="AA38" s="59"/>
      <c r="AB38" s="59"/>
      <c r="AC38" s="59">
        <v>100000</v>
      </c>
      <c r="AD38" s="59"/>
      <c r="AE38" s="59"/>
      <c r="AF38" s="59"/>
      <c r="AG38" s="59"/>
      <c r="AH38" s="59"/>
      <c r="AI38" s="59"/>
      <c r="AJ38" s="59"/>
      <c r="AK38" s="59"/>
      <c r="AL38" s="59"/>
      <c r="AM38" s="59"/>
      <c r="AN38" s="59"/>
      <c r="AO38" s="59"/>
      <c r="AP38" s="59"/>
      <c r="AQ38" s="59"/>
      <c r="AR38" s="59"/>
      <c r="AS38" s="59"/>
      <c r="AT38" s="59"/>
      <c r="AU38" s="59"/>
      <c r="AV38" s="61"/>
      <c r="AW38" s="61"/>
      <c r="AX38" s="58"/>
      <c r="AY38" s="61"/>
      <c r="AZ38" s="58"/>
      <c r="BA38" s="59">
        <v>150000</v>
      </c>
      <c r="BB38" s="59">
        <v>25000</v>
      </c>
      <c r="BC38" s="59"/>
      <c r="BD38" s="62"/>
      <c r="BE38" s="59"/>
      <c r="BF38" s="58"/>
      <c r="BG38" s="59"/>
    </row>
    <row r="39" spans="1:59" ht="15.75" x14ac:dyDescent="0.25">
      <c r="A39" s="127" t="s">
        <v>614</v>
      </c>
      <c r="B39" s="59"/>
      <c r="C39" s="59"/>
      <c r="D39" s="59"/>
      <c r="E39" s="59"/>
      <c r="F39" s="59"/>
      <c r="G39" s="59"/>
      <c r="H39" s="59"/>
      <c r="I39" s="59"/>
      <c r="J39" s="59"/>
      <c r="K39" s="59">
        <v>39000</v>
      </c>
      <c r="L39" s="59"/>
      <c r="M39" s="59"/>
      <c r="N39" s="59"/>
      <c r="O39" s="59"/>
      <c r="P39" s="59"/>
      <c r="Q39" s="59"/>
      <c r="R39" s="59">
        <f t="shared" si="1"/>
        <v>0</v>
      </c>
      <c r="S39" s="59"/>
      <c r="T39" s="59">
        <f t="shared" si="2"/>
        <v>0</v>
      </c>
      <c r="U39" s="59"/>
      <c r="V39" s="59"/>
      <c r="W39" s="59"/>
      <c r="X39" s="59"/>
      <c r="Y39" s="59"/>
      <c r="Z39" s="59"/>
      <c r="AA39" s="59"/>
      <c r="AB39" s="59">
        <v>12000</v>
      </c>
      <c r="AC39" s="59"/>
      <c r="AD39" s="59"/>
      <c r="AE39" s="59"/>
      <c r="AF39" s="59"/>
      <c r="AG39" s="59"/>
      <c r="AH39" s="59"/>
      <c r="AI39" s="59"/>
      <c r="AJ39" s="59"/>
      <c r="AK39" s="59"/>
      <c r="AL39" s="59"/>
      <c r="AM39" s="59"/>
      <c r="AN39" s="59"/>
      <c r="AO39" s="59"/>
      <c r="AP39" s="59"/>
      <c r="AQ39" s="59"/>
      <c r="AR39" s="59">
        <v>338000</v>
      </c>
      <c r="AS39" s="59">
        <v>1336000</v>
      </c>
      <c r="AT39" s="59"/>
      <c r="AU39" s="59"/>
      <c r="AV39" s="61"/>
      <c r="AW39" s="61"/>
      <c r="AX39" s="58"/>
      <c r="AY39" s="61">
        <v>1500000</v>
      </c>
      <c r="AZ39" s="58"/>
      <c r="BA39" s="59"/>
      <c r="BB39" s="59"/>
      <c r="BC39" s="59"/>
      <c r="BD39" s="62"/>
      <c r="BE39" s="59"/>
      <c r="BF39" s="58"/>
      <c r="BG39" s="59"/>
    </row>
    <row r="40" spans="1:59" ht="31.5" x14ac:dyDescent="0.25">
      <c r="A40" s="127" t="s">
        <v>613</v>
      </c>
      <c r="B40" s="59"/>
      <c r="C40" s="59"/>
      <c r="D40" s="59"/>
      <c r="E40" s="59"/>
      <c r="F40" s="59"/>
      <c r="G40" s="59"/>
      <c r="H40" s="59"/>
      <c r="I40" s="59"/>
      <c r="J40" s="59"/>
      <c r="K40" s="59"/>
      <c r="L40" s="59"/>
      <c r="M40" s="59"/>
      <c r="N40" s="59"/>
      <c r="O40" s="59"/>
      <c r="P40" s="59"/>
      <c r="Q40" s="59"/>
      <c r="R40" s="59">
        <f t="shared" si="1"/>
        <v>0</v>
      </c>
      <c r="S40" s="59">
        <v>20640</v>
      </c>
      <c r="T40" s="59">
        <f t="shared" si="2"/>
        <v>16512</v>
      </c>
      <c r="U40" s="59"/>
      <c r="V40" s="59">
        <v>98000</v>
      </c>
      <c r="W40" s="59">
        <v>167800</v>
      </c>
      <c r="X40" s="59"/>
      <c r="Y40" s="59">
        <v>142000</v>
      </c>
      <c r="Z40" s="59">
        <v>286000</v>
      </c>
      <c r="AA40" s="59">
        <v>329000</v>
      </c>
      <c r="AB40" s="59"/>
      <c r="AC40" s="59">
        <v>98600</v>
      </c>
      <c r="AD40" s="59">
        <v>238000</v>
      </c>
      <c r="AE40" s="59">
        <v>99500</v>
      </c>
      <c r="AF40" s="59">
        <v>162500</v>
      </c>
      <c r="AG40" s="59">
        <v>45000</v>
      </c>
      <c r="AH40" s="59">
        <v>240000</v>
      </c>
      <c r="AI40" s="59">
        <v>567000</v>
      </c>
      <c r="AJ40" s="59">
        <v>51000</v>
      </c>
      <c r="AK40" s="59">
        <v>600000</v>
      </c>
      <c r="AL40" s="59">
        <v>233000</v>
      </c>
      <c r="AM40" s="59">
        <f>324000</f>
        <v>324000</v>
      </c>
      <c r="AN40" s="59">
        <v>381000</v>
      </c>
      <c r="AO40" s="59">
        <v>315207</v>
      </c>
      <c r="AP40" s="59">
        <v>335000</v>
      </c>
      <c r="AQ40" s="59">
        <v>431000</v>
      </c>
      <c r="AR40" s="59"/>
      <c r="AS40" s="59"/>
      <c r="AT40" s="59">
        <v>1615000</v>
      </c>
      <c r="AU40" s="59">
        <v>1600000</v>
      </c>
      <c r="AV40" s="61">
        <v>1723000</v>
      </c>
      <c r="AW40" s="61">
        <v>1547000</v>
      </c>
      <c r="AX40" s="58"/>
      <c r="AY40" s="61"/>
      <c r="AZ40" s="58"/>
      <c r="BA40" s="59"/>
      <c r="BB40" s="59"/>
      <c r="BC40" s="59"/>
      <c r="BD40" s="62"/>
      <c r="BE40" s="59"/>
      <c r="BF40" s="58"/>
      <c r="BG40" s="59"/>
    </row>
    <row r="41" spans="1:59" ht="31.5" x14ac:dyDescent="0.25">
      <c r="A41" s="127" t="s">
        <v>606</v>
      </c>
      <c r="B41" s="59"/>
      <c r="C41" s="59"/>
      <c r="D41" s="59"/>
      <c r="E41" s="59"/>
      <c r="F41" s="59"/>
      <c r="G41" s="59"/>
      <c r="H41" s="59"/>
      <c r="I41" s="59"/>
      <c r="J41" s="59"/>
      <c r="K41" s="59"/>
      <c r="L41" s="59"/>
      <c r="M41" s="59"/>
      <c r="N41" s="59"/>
      <c r="O41" s="59"/>
      <c r="P41" s="59"/>
      <c r="Q41" s="59"/>
      <c r="R41" s="59">
        <f t="shared" si="1"/>
        <v>0</v>
      </c>
      <c r="S41" s="59"/>
      <c r="T41" s="59">
        <f t="shared" si="2"/>
        <v>0</v>
      </c>
      <c r="U41" s="59"/>
      <c r="V41" s="59"/>
      <c r="W41" s="59"/>
      <c r="X41" s="59"/>
      <c r="Y41" s="59"/>
      <c r="Z41" s="59"/>
      <c r="AA41" s="59"/>
      <c r="AB41" s="59">
        <v>281600</v>
      </c>
      <c r="AC41" s="59">
        <v>319450</v>
      </c>
      <c r="AD41" s="59">
        <v>237250</v>
      </c>
      <c r="AE41" s="59">
        <v>169600</v>
      </c>
      <c r="AF41" s="59">
        <v>265600</v>
      </c>
      <c r="AG41" s="59">
        <v>115200</v>
      </c>
      <c r="AH41" s="59">
        <v>280000</v>
      </c>
      <c r="AI41" s="59">
        <v>268800</v>
      </c>
      <c r="AJ41" s="59">
        <v>236800</v>
      </c>
      <c r="AK41" s="59">
        <v>320000</v>
      </c>
      <c r="AL41" s="59">
        <v>460800</v>
      </c>
      <c r="AM41" s="59">
        <f>422400</f>
        <v>422400</v>
      </c>
      <c r="AN41" s="59">
        <v>236800</v>
      </c>
      <c r="AO41" s="59">
        <v>320000</v>
      </c>
      <c r="AP41" s="59">
        <v>275200</v>
      </c>
      <c r="AQ41" s="59">
        <v>428800</v>
      </c>
      <c r="AR41" s="59">
        <v>364400</v>
      </c>
      <c r="AS41" s="59">
        <v>41000</v>
      </c>
      <c r="AT41" s="59"/>
      <c r="AU41" s="59"/>
      <c r="AV41" s="61"/>
      <c r="AW41" s="61"/>
      <c r="AX41" s="58"/>
      <c r="AY41" s="61"/>
      <c r="AZ41" s="58"/>
      <c r="BA41" s="59"/>
      <c r="BB41" s="59"/>
      <c r="BC41" s="59"/>
      <c r="BD41" s="62"/>
      <c r="BE41" s="59"/>
      <c r="BF41" s="58"/>
      <c r="BG41" s="59"/>
    </row>
    <row r="42" spans="1:59" ht="31.5" x14ac:dyDescent="0.25">
      <c r="A42" s="127" t="s">
        <v>1002</v>
      </c>
      <c r="B42" s="59"/>
      <c r="C42" s="59"/>
      <c r="D42" s="59"/>
      <c r="E42" s="59"/>
      <c r="F42" s="59"/>
      <c r="G42" s="59"/>
      <c r="H42" s="59"/>
      <c r="I42" s="59"/>
      <c r="J42" s="59"/>
      <c r="K42" s="59"/>
      <c r="L42" s="59"/>
      <c r="M42" s="59"/>
      <c r="N42" s="59"/>
      <c r="O42" s="59"/>
      <c r="P42" s="59"/>
      <c r="Q42" s="59"/>
      <c r="R42" s="59">
        <f t="shared" si="1"/>
        <v>0</v>
      </c>
      <c r="S42" s="59"/>
      <c r="T42" s="59">
        <f t="shared" si="2"/>
        <v>0</v>
      </c>
      <c r="U42" s="59"/>
      <c r="V42" s="59"/>
      <c r="W42" s="59"/>
      <c r="X42" s="59"/>
      <c r="Y42" s="59"/>
      <c r="Z42" s="59"/>
      <c r="AA42" s="59"/>
      <c r="AB42" s="59"/>
      <c r="AC42" s="59"/>
      <c r="AD42" s="59"/>
      <c r="AE42" s="59"/>
      <c r="AF42" s="59"/>
      <c r="AG42" s="59"/>
      <c r="AH42" s="59"/>
      <c r="AI42" s="59"/>
      <c r="AJ42" s="59"/>
      <c r="AK42" s="59"/>
      <c r="AL42" s="59">
        <v>439500</v>
      </c>
      <c r="AM42" s="59"/>
      <c r="AN42" s="59"/>
      <c r="AO42" s="59"/>
      <c r="AP42" s="59"/>
      <c r="AQ42" s="59"/>
      <c r="AR42" s="59"/>
      <c r="AS42" s="59"/>
      <c r="AT42" s="59"/>
      <c r="AU42" s="59"/>
      <c r="AV42" s="61"/>
      <c r="AW42" s="61"/>
      <c r="AX42" s="58"/>
      <c r="AY42" s="61"/>
      <c r="AZ42" s="58"/>
      <c r="BA42" s="59"/>
      <c r="BB42" s="59"/>
      <c r="BC42" s="59"/>
      <c r="BD42" s="62"/>
      <c r="BE42" s="59"/>
      <c r="BF42" s="58"/>
      <c r="BG42" s="59"/>
    </row>
    <row r="43" spans="1:59" ht="31.5" x14ac:dyDescent="0.25">
      <c r="A43" s="127" t="s">
        <v>1003</v>
      </c>
      <c r="B43" s="59"/>
      <c r="C43" s="59"/>
      <c r="D43" s="59"/>
      <c r="E43" s="59"/>
      <c r="F43" s="59"/>
      <c r="G43" s="59"/>
      <c r="H43" s="59"/>
      <c r="I43" s="59"/>
      <c r="J43" s="59"/>
      <c r="K43" s="59"/>
      <c r="L43" s="59"/>
      <c r="M43" s="59"/>
      <c r="N43" s="59"/>
      <c r="O43" s="59"/>
      <c r="P43" s="59"/>
      <c r="Q43" s="59"/>
      <c r="R43" s="59">
        <f t="shared" si="1"/>
        <v>0</v>
      </c>
      <c r="S43" s="59"/>
      <c r="T43" s="59">
        <f t="shared" si="2"/>
        <v>0</v>
      </c>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61"/>
      <c r="AW43" s="61"/>
      <c r="AX43" s="58"/>
      <c r="AY43" s="61"/>
      <c r="AZ43" s="58"/>
      <c r="BA43" s="59">
        <v>56520</v>
      </c>
      <c r="BB43" s="59">
        <v>159500</v>
      </c>
      <c r="BC43" s="59"/>
      <c r="BD43" s="62"/>
      <c r="BE43" s="59"/>
      <c r="BF43" s="58"/>
      <c r="BG43" s="59"/>
    </row>
    <row r="44" spans="1:59" ht="31.5" x14ac:dyDescent="0.25">
      <c r="A44" s="127" t="s">
        <v>612</v>
      </c>
      <c r="B44" s="59"/>
      <c r="C44" s="59"/>
      <c r="D44" s="59"/>
      <c r="E44" s="59"/>
      <c r="F44" s="59"/>
      <c r="G44" s="59"/>
      <c r="H44" s="59"/>
      <c r="I44" s="59"/>
      <c r="J44" s="59"/>
      <c r="K44" s="59"/>
      <c r="L44" s="59"/>
      <c r="M44" s="59"/>
      <c r="N44" s="59"/>
      <c r="O44" s="59"/>
      <c r="P44" s="59"/>
      <c r="Q44" s="59"/>
      <c r="R44" s="59">
        <f t="shared" si="1"/>
        <v>0</v>
      </c>
      <c r="S44" s="59"/>
      <c r="T44" s="59">
        <f t="shared" si="2"/>
        <v>0</v>
      </c>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61"/>
      <c r="AW44" s="61"/>
      <c r="AX44" s="58"/>
      <c r="AY44" s="61"/>
      <c r="AZ44" s="58"/>
      <c r="BA44" s="59"/>
      <c r="BB44" s="59"/>
      <c r="BC44" s="59"/>
      <c r="BD44" s="62"/>
      <c r="BE44" s="59">
        <v>823904</v>
      </c>
      <c r="BF44" s="58"/>
      <c r="BG44" s="59">
        <v>850000</v>
      </c>
    </row>
    <row r="45" spans="1:59" ht="15.75" x14ac:dyDescent="0.25">
      <c r="A45" s="127" t="s">
        <v>611</v>
      </c>
      <c r="B45" s="59"/>
      <c r="C45" s="59"/>
      <c r="D45" s="59"/>
      <c r="E45" s="59"/>
      <c r="F45" s="59"/>
      <c r="G45" s="59"/>
      <c r="H45" s="59">
        <v>64882</v>
      </c>
      <c r="I45" s="59"/>
      <c r="J45" s="59">
        <v>68104</v>
      </c>
      <c r="K45" s="59">
        <v>349502</v>
      </c>
      <c r="L45" s="59"/>
      <c r="M45" s="59"/>
      <c r="N45" s="59"/>
      <c r="O45" s="59"/>
      <c r="P45" s="59"/>
      <c r="Q45" s="59"/>
      <c r="R45" s="59">
        <f t="shared" si="1"/>
        <v>0</v>
      </c>
      <c r="S45" s="59"/>
      <c r="T45" s="59">
        <f t="shared" si="2"/>
        <v>0</v>
      </c>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61"/>
      <c r="AW45" s="61"/>
      <c r="AX45" s="58"/>
      <c r="AY45" s="61"/>
      <c r="AZ45" s="58"/>
      <c r="BA45" s="59"/>
      <c r="BB45" s="59"/>
      <c r="BC45" s="59"/>
      <c r="BD45" s="62"/>
      <c r="BE45" s="59"/>
      <c r="BF45" s="58"/>
      <c r="BG45" s="59"/>
    </row>
    <row r="46" spans="1:59" ht="15" customHeight="1" x14ac:dyDescent="0.25">
      <c r="A46" s="128" t="s">
        <v>607</v>
      </c>
      <c r="B46" s="63"/>
      <c r="C46" s="63"/>
      <c r="D46" s="63"/>
      <c r="E46" s="63"/>
      <c r="F46" s="63"/>
      <c r="G46" s="63"/>
      <c r="H46" s="63"/>
      <c r="I46" s="63"/>
      <c r="J46" s="63"/>
      <c r="K46" s="63"/>
      <c r="L46" s="63"/>
      <c r="M46" s="63"/>
      <c r="N46" s="63"/>
      <c r="O46" s="63"/>
      <c r="P46" s="63"/>
      <c r="Q46" s="63"/>
      <c r="R46" s="59">
        <f t="shared" si="1"/>
        <v>0</v>
      </c>
      <c r="S46" s="63"/>
      <c r="T46" s="59">
        <f t="shared" si="2"/>
        <v>0</v>
      </c>
      <c r="U46" s="63"/>
      <c r="V46" s="63"/>
      <c r="W46" s="63"/>
      <c r="X46" s="63"/>
      <c r="Y46" s="63"/>
      <c r="Z46" s="63"/>
      <c r="AA46" s="63"/>
      <c r="AB46" s="63"/>
      <c r="AC46" s="63"/>
      <c r="AD46" s="63"/>
      <c r="AE46" s="63"/>
      <c r="AF46" s="63"/>
      <c r="AG46" s="63"/>
      <c r="AH46" s="63"/>
      <c r="AI46" s="61"/>
      <c r="AJ46" s="61"/>
      <c r="AK46" s="61"/>
      <c r="AL46" s="61"/>
      <c r="AM46" s="61"/>
      <c r="AN46" s="61"/>
      <c r="AO46" s="61"/>
      <c r="AP46" s="61"/>
      <c r="AQ46" s="61"/>
      <c r="AR46" s="61">
        <v>67000</v>
      </c>
      <c r="AS46" s="61">
        <v>259500</v>
      </c>
      <c r="AT46" s="61"/>
      <c r="AU46" s="61"/>
      <c r="AV46" s="61"/>
      <c r="AW46" s="61"/>
      <c r="AX46" s="64"/>
      <c r="AY46" s="61"/>
      <c r="AZ46" s="64"/>
      <c r="BA46" s="61"/>
      <c r="BB46" s="61"/>
      <c r="BC46" s="59"/>
      <c r="BD46" s="65"/>
      <c r="BE46" s="61">
        <v>1700160</v>
      </c>
      <c r="BF46" s="64"/>
      <c r="BG46" s="61">
        <v>1800000</v>
      </c>
    </row>
    <row r="47" spans="1:59" ht="15.75" x14ac:dyDescent="0.25">
      <c r="A47" s="127" t="s">
        <v>1004</v>
      </c>
      <c r="B47" s="59"/>
      <c r="C47" s="59"/>
      <c r="D47" s="59"/>
      <c r="E47" s="59"/>
      <c r="F47" s="59"/>
      <c r="G47" s="59"/>
      <c r="H47" s="59"/>
      <c r="I47" s="59"/>
      <c r="J47" s="59"/>
      <c r="K47" s="59"/>
      <c r="L47" s="59"/>
      <c r="M47" s="59"/>
      <c r="N47" s="59"/>
      <c r="O47" s="59"/>
      <c r="P47" s="59"/>
      <c r="Q47" s="59">
        <f>137860+87280</f>
        <v>225140</v>
      </c>
      <c r="R47" s="59">
        <f t="shared" si="1"/>
        <v>180112</v>
      </c>
      <c r="S47" s="59"/>
      <c r="T47" s="59">
        <f t="shared" si="2"/>
        <v>0</v>
      </c>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61"/>
      <c r="AW47" s="61"/>
      <c r="AX47" s="58"/>
      <c r="AY47" s="61"/>
      <c r="AZ47" s="58"/>
      <c r="BA47" s="59"/>
      <c r="BB47" s="59"/>
      <c r="BC47" s="59"/>
      <c r="BD47" s="62"/>
      <c r="BE47" s="59"/>
      <c r="BF47" s="58"/>
      <c r="BG47" s="59"/>
    </row>
    <row r="48" spans="1:59" ht="15.75" x14ac:dyDescent="0.25">
      <c r="A48" s="127" t="s">
        <v>610</v>
      </c>
      <c r="B48" s="59"/>
      <c r="C48" s="59"/>
      <c r="D48" s="59"/>
      <c r="E48" s="59"/>
      <c r="F48" s="59"/>
      <c r="G48" s="59"/>
      <c r="H48" s="59"/>
      <c r="I48" s="59"/>
      <c r="J48" s="59"/>
      <c r="K48" s="59"/>
      <c r="L48" s="59"/>
      <c r="M48" s="59"/>
      <c r="N48" s="59"/>
      <c r="O48" s="59"/>
      <c r="P48" s="59">
        <v>42880</v>
      </c>
      <c r="Q48" s="59"/>
      <c r="R48" s="59">
        <f t="shared" si="1"/>
        <v>0</v>
      </c>
      <c r="S48" s="59"/>
      <c r="T48" s="59">
        <f t="shared" si="2"/>
        <v>0</v>
      </c>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61"/>
      <c r="AW48" s="61"/>
      <c r="AX48" s="58"/>
      <c r="AY48" s="61"/>
      <c r="AZ48" s="58"/>
      <c r="BA48" s="59"/>
      <c r="BB48" s="59"/>
      <c r="BC48" s="59"/>
      <c r="BD48" s="62"/>
      <c r="BE48" s="59"/>
      <c r="BF48" s="58"/>
      <c r="BG48" s="59"/>
    </row>
    <row r="49" spans="1:59" ht="15.75" x14ac:dyDescent="0.25">
      <c r="A49" s="127" t="s">
        <v>1005</v>
      </c>
      <c r="B49" s="59"/>
      <c r="C49" s="59"/>
      <c r="D49" s="59"/>
      <c r="E49" s="59"/>
      <c r="F49" s="59"/>
      <c r="G49" s="59"/>
      <c r="H49" s="59"/>
      <c r="I49" s="59"/>
      <c r="J49" s="59"/>
      <c r="K49" s="59"/>
      <c r="L49" s="59"/>
      <c r="M49" s="59"/>
      <c r="N49" s="59"/>
      <c r="O49" s="59"/>
      <c r="P49" s="59"/>
      <c r="Q49" s="59"/>
      <c r="R49" s="59">
        <f t="shared" si="1"/>
        <v>0</v>
      </c>
      <c r="S49" s="59"/>
      <c r="T49" s="59">
        <f t="shared" si="2"/>
        <v>0</v>
      </c>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61"/>
      <c r="AW49" s="61"/>
      <c r="AX49" s="58"/>
      <c r="AY49" s="61"/>
      <c r="AZ49" s="58"/>
      <c r="BA49" s="59"/>
      <c r="BB49" s="59">
        <v>60000</v>
      </c>
      <c r="BC49" s="59"/>
      <c r="BD49" s="62"/>
      <c r="BE49" s="59">
        <v>200000</v>
      </c>
      <c r="BF49" s="58"/>
      <c r="BG49" s="59"/>
    </row>
    <row r="50" spans="1:59" ht="15.75" x14ac:dyDescent="0.25">
      <c r="A50" s="127"/>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61"/>
      <c r="AW50" s="61"/>
      <c r="AX50" s="58"/>
      <c r="AY50" s="61"/>
      <c r="AZ50" s="58"/>
      <c r="BA50" s="59"/>
      <c r="BB50" s="59"/>
      <c r="BC50" s="59"/>
      <c r="BD50" s="62"/>
      <c r="BE50" s="59"/>
      <c r="BF50" s="58"/>
      <c r="BG50" s="59"/>
    </row>
    <row r="51" spans="1:59" ht="15.75" x14ac:dyDescent="0.25">
      <c r="A51" s="127" t="s">
        <v>448</v>
      </c>
      <c r="B51" s="59">
        <f>7500+68111+12000+10000</f>
        <v>97611</v>
      </c>
      <c r="C51" s="59">
        <f>31700+611200+10000</f>
        <v>652900</v>
      </c>
      <c r="D51" s="59">
        <f>38160+38000</f>
        <v>76160</v>
      </c>
      <c r="E51" s="59">
        <f>17000+10000+10000+2000+10000</f>
        <v>49000</v>
      </c>
      <c r="F51" s="59">
        <f>17000+9000</f>
        <v>26000</v>
      </c>
      <c r="G51" s="59">
        <f>430000+36000</f>
        <v>466000</v>
      </c>
      <c r="H51" s="59">
        <f>220000+48000+7000</f>
        <v>275000</v>
      </c>
      <c r="I51" s="59">
        <f>140000+22000+9500+4000</f>
        <v>175500</v>
      </c>
      <c r="J51" s="59">
        <f>40000+5000+4800</f>
        <v>49800</v>
      </c>
      <c r="K51" s="59">
        <f>4000+20000</f>
        <v>24000</v>
      </c>
      <c r="L51" s="59"/>
      <c r="M51" s="59"/>
      <c r="N51" s="59"/>
      <c r="O51" s="59"/>
      <c r="P51" s="59"/>
      <c r="Q51" s="59">
        <v>124000</v>
      </c>
      <c r="R51" s="59">
        <f>(Q51/15)*12</f>
        <v>99200</v>
      </c>
      <c r="S51" s="59">
        <v>120000</v>
      </c>
      <c r="T51" s="59">
        <f>(S51/15)*12</f>
        <v>96000</v>
      </c>
      <c r="U51" s="59"/>
      <c r="V51" s="59">
        <v>108500</v>
      </c>
      <c r="W51" s="59">
        <v>4500</v>
      </c>
      <c r="X51" s="59">
        <f>115800+29400</f>
        <v>145200</v>
      </c>
      <c r="Y51" s="59">
        <v>83060</v>
      </c>
      <c r="Z51" s="59">
        <v>18180</v>
      </c>
      <c r="AA51" s="59">
        <v>41570</v>
      </c>
      <c r="AB51" s="59">
        <v>109708</v>
      </c>
      <c r="AC51" s="59">
        <v>67200</v>
      </c>
      <c r="AD51" s="59">
        <v>111100</v>
      </c>
      <c r="AE51" s="59">
        <v>54750</v>
      </c>
      <c r="AF51" s="59">
        <v>23500</v>
      </c>
      <c r="AG51" s="59">
        <v>31800</v>
      </c>
      <c r="AH51" s="59">
        <v>100000</v>
      </c>
      <c r="AI51" s="59">
        <v>194642</v>
      </c>
      <c r="AJ51" s="59">
        <v>346050</v>
      </c>
      <c r="AK51" s="59">
        <v>80000</v>
      </c>
      <c r="AL51" s="59">
        <v>9000</v>
      </c>
      <c r="AM51" s="59">
        <f>159250</f>
        <v>159250</v>
      </c>
      <c r="AN51" s="59">
        <v>155520</v>
      </c>
      <c r="AO51" s="59">
        <v>185980</v>
      </c>
      <c r="AP51" s="59">
        <v>80110</v>
      </c>
      <c r="AQ51" s="59">
        <v>260000</v>
      </c>
      <c r="AR51" s="59">
        <v>12000</v>
      </c>
      <c r="AS51" s="59">
        <v>55000</v>
      </c>
      <c r="AT51" s="59">
        <v>6000</v>
      </c>
      <c r="AU51" s="59">
        <v>120000</v>
      </c>
      <c r="AV51" s="61">
        <v>68000</v>
      </c>
      <c r="AW51" s="61">
        <v>22000</v>
      </c>
      <c r="AX51" s="58"/>
      <c r="AY51" s="61">
        <v>150000</v>
      </c>
      <c r="AZ51" s="58"/>
      <c r="BA51" s="59">
        <v>40000</v>
      </c>
      <c r="BB51" s="59">
        <v>170200</v>
      </c>
      <c r="BC51" s="59"/>
      <c r="BD51" s="62"/>
      <c r="BE51" s="59">
        <v>164255</v>
      </c>
      <c r="BF51" s="58"/>
      <c r="BG51" s="59">
        <v>200000</v>
      </c>
    </row>
    <row r="52" spans="1:59" ht="15.75" x14ac:dyDescent="0.25">
      <c r="A52" s="127"/>
      <c r="B52" s="59"/>
      <c r="C52" s="59"/>
      <c r="D52" s="59"/>
      <c r="E52" s="59"/>
      <c r="F52" s="59"/>
      <c r="G52" s="59"/>
      <c r="H52" s="59"/>
      <c r="I52" s="59"/>
      <c r="J52" s="59"/>
      <c r="K52" s="59"/>
      <c r="L52" s="59"/>
      <c r="M52" s="59"/>
      <c r="N52" s="59"/>
      <c r="O52" s="59"/>
      <c r="P52" s="59"/>
      <c r="Q52" s="59"/>
      <c r="R52" s="59">
        <f t="shared" si="0"/>
        <v>0</v>
      </c>
      <c r="S52" s="59"/>
      <c r="T52" s="59">
        <f t="shared" si="0"/>
        <v>0</v>
      </c>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61"/>
      <c r="AW52" s="61"/>
      <c r="AX52" s="58"/>
      <c r="AY52" s="61"/>
      <c r="AZ52" s="58"/>
      <c r="BA52" s="59"/>
      <c r="BB52" s="59"/>
      <c r="BC52" s="59"/>
      <c r="BD52" s="62"/>
      <c r="BE52" s="59"/>
      <c r="BF52" s="58"/>
      <c r="BG52" s="59"/>
    </row>
    <row r="53" spans="1:59" ht="15.75" x14ac:dyDescent="0.25">
      <c r="A53" s="129" t="s">
        <v>990</v>
      </c>
      <c r="B53" s="59"/>
      <c r="C53" s="59"/>
      <c r="D53" s="59"/>
      <c r="E53" s="59"/>
      <c r="F53" s="59"/>
      <c r="G53" s="59"/>
      <c r="H53" s="59"/>
      <c r="I53" s="59"/>
      <c r="J53" s="59"/>
      <c r="K53" s="59"/>
      <c r="L53" s="59"/>
      <c r="M53" s="59"/>
      <c r="N53" s="59"/>
      <c r="O53" s="59"/>
      <c r="P53" s="59"/>
      <c r="Q53" s="59"/>
      <c r="R53" s="59">
        <f t="shared" si="0"/>
        <v>0</v>
      </c>
      <c r="S53" s="59"/>
      <c r="T53" s="59">
        <f t="shared" si="0"/>
        <v>0</v>
      </c>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61"/>
      <c r="AW53" s="61"/>
      <c r="AX53" s="58"/>
      <c r="AY53" s="61"/>
      <c r="AZ53" s="58"/>
      <c r="BA53" s="59"/>
      <c r="BB53" s="59"/>
      <c r="BC53" s="59"/>
      <c r="BD53" s="62"/>
      <c r="BE53" s="59">
        <v>807000</v>
      </c>
      <c r="BF53" s="58"/>
      <c r="BG53" s="59">
        <v>800000</v>
      </c>
    </row>
    <row r="54" spans="1:59" ht="15.75" x14ac:dyDescent="0.25">
      <c r="A54" s="127" t="s">
        <v>884</v>
      </c>
      <c r="B54" s="59"/>
      <c r="C54" s="59"/>
      <c r="D54" s="59"/>
      <c r="E54" s="59"/>
      <c r="F54" s="59"/>
      <c r="G54" s="59"/>
      <c r="H54" s="59"/>
      <c r="I54" s="59"/>
      <c r="J54" s="59"/>
      <c r="K54" s="59"/>
      <c r="L54" s="59"/>
      <c r="M54" s="59"/>
      <c r="N54" s="59"/>
      <c r="O54" s="59"/>
      <c r="P54" s="59"/>
      <c r="Q54" s="59"/>
      <c r="R54" s="59">
        <f t="shared" si="0"/>
        <v>0</v>
      </c>
      <c r="S54" s="59"/>
      <c r="T54" s="59">
        <f t="shared" si="0"/>
        <v>0</v>
      </c>
      <c r="U54" s="59"/>
      <c r="V54" s="59"/>
      <c r="W54" s="59"/>
      <c r="X54" s="59"/>
      <c r="Y54" s="59"/>
      <c r="Z54" s="59"/>
      <c r="AA54" s="59"/>
      <c r="AB54" s="59"/>
      <c r="AC54" s="59"/>
      <c r="AD54" s="59"/>
      <c r="AE54" s="59"/>
      <c r="AF54" s="59"/>
      <c r="AG54" s="59"/>
      <c r="AH54" s="59"/>
      <c r="AI54" s="59"/>
      <c r="AJ54" s="59"/>
      <c r="AK54" s="59"/>
      <c r="AL54" s="59"/>
      <c r="AM54" s="59"/>
      <c r="AN54" s="59">
        <v>76980</v>
      </c>
      <c r="AO54" s="59">
        <v>92600</v>
      </c>
      <c r="AP54" s="59">
        <v>80000</v>
      </c>
      <c r="AQ54" s="59">
        <v>104000</v>
      </c>
      <c r="AR54" s="59">
        <v>128800</v>
      </c>
      <c r="AS54" s="59">
        <v>116676</v>
      </c>
      <c r="AT54" s="59">
        <v>130000</v>
      </c>
      <c r="AU54" s="59">
        <v>300000</v>
      </c>
      <c r="AV54" s="61">
        <v>131000</v>
      </c>
      <c r="AW54" s="61">
        <v>126000</v>
      </c>
      <c r="AX54" s="58"/>
      <c r="AY54" s="61">
        <v>120000</v>
      </c>
      <c r="AZ54" s="58"/>
      <c r="BA54" s="59">
        <v>5000</v>
      </c>
      <c r="BB54" s="59"/>
      <c r="BC54" s="59"/>
      <c r="BD54" s="62"/>
      <c r="BE54" s="59"/>
      <c r="BF54" s="58"/>
      <c r="BG54" s="59"/>
    </row>
    <row r="55" spans="1:59" ht="15.75" x14ac:dyDescent="0.25">
      <c r="A55" s="155" t="s">
        <v>586</v>
      </c>
      <c r="B55" s="59"/>
      <c r="C55" s="59"/>
      <c r="D55" s="59"/>
      <c r="E55" s="59"/>
      <c r="F55" s="59"/>
      <c r="G55" s="59"/>
      <c r="H55" s="59"/>
      <c r="I55" s="59"/>
      <c r="J55" s="59"/>
      <c r="K55" s="59"/>
      <c r="L55" s="59"/>
      <c r="M55" s="59"/>
      <c r="N55" s="59"/>
      <c r="O55" s="59"/>
      <c r="P55" s="59"/>
      <c r="Q55" s="59"/>
      <c r="R55" s="59">
        <f t="shared" si="0"/>
        <v>0</v>
      </c>
      <c r="S55" s="59"/>
      <c r="T55" s="59">
        <f t="shared" si="0"/>
        <v>0</v>
      </c>
      <c r="U55" s="59"/>
      <c r="V55" s="59"/>
      <c r="W55" s="59"/>
      <c r="X55" s="59"/>
      <c r="Y55" s="59"/>
      <c r="Z55" s="59"/>
      <c r="AA55" s="59"/>
      <c r="AB55" s="59"/>
      <c r="AC55" s="59"/>
      <c r="AD55" s="59"/>
      <c r="AE55" s="59"/>
      <c r="AF55" s="59"/>
      <c r="AG55" s="59"/>
      <c r="AH55" s="59"/>
      <c r="AI55" s="59"/>
      <c r="AJ55" s="59"/>
      <c r="AK55" s="59"/>
      <c r="AL55" s="59"/>
      <c r="AM55" s="59"/>
      <c r="AN55" s="59"/>
      <c r="AO55" s="59"/>
      <c r="AP55" s="59"/>
      <c r="AQ55" s="59">
        <v>120000</v>
      </c>
      <c r="AR55" s="59"/>
      <c r="AS55" s="59"/>
      <c r="AT55" s="59"/>
      <c r="AU55" s="59"/>
      <c r="AV55" s="61"/>
      <c r="AW55" s="61"/>
      <c r="AX55" s="58"/>
      <c r="AY55" s="61"/>
      <c r="AZ55" s="58"/>
      <c r="BA55" s="59"/>
      <c r="BB55" s="59"/>
      <c r="BC55" s="59"/>
      <c r="BD55" s="62"/>
      <c r="BE55" s="59"/>
      <c r="BF55" s="58"/>
      <c r="BG55" s="59"/>
    </row>
    <row r="56" spans="1:59" ht="15.75" x14ac:dyDescent="0.25">
      <c r="A56" s="155" t="s">
        <v>1075</v>
      </c>
      <c r="B56" s="59"/>
      <c r="C56" s="59"/>
      <c r="D56" s="59"/>
      <c r="E56" s="59"/>
      <c r="F56" s="59">
        <v>20010</v>
      </c>
      <c r="G56" s="59"/>
      <c r="H56" s="59">
        <v>5760</v>
      </c>
      <c r="I56" s="59"/>
      <c r="J56" s="59">
        <v>1800</v>
      </c>
      <c r="K56" s="59"/>
      <c r="L56" s="59"/>
      <c r="M56" s="59"/>
      <c r="N56" s="59"/>
      <c r="O56" s="59"/>
      <c r="P56" s="59"/>
      <c r="Q56" s="59"/>
      <c r="R56" s="59">
        <f t="shared" si="0"/>
        <v>0</v>
      </c>
      <c r="S56" s="59"/>
      <c r="T56" s="59">
        <f t="shared" si="0"/>
        <v>0</v>
      </c>
      <c r="U56" s="59"/>
      <c r="V56" s="59"/>
      <c r="W56" s="59"/>
      <c r="X56" s="59"/>
      <c r="Y56" s="59"/>
      <c r="Z56" s="59"/>
      <c r="AA56" s="59"/>
      <c r="AB56" s="59"/>
      <c r="AC56" s="59"/>
      <c r="AD56" s="59"/>
      <c r="AE56" s="59"/>
      <c r="AF56" s="59"/>
      <c r="AG56" s="59"/>
      <c r="AH56" s="59"/>
      <c r="AI56" s="59"/>
      <c r="AJ56" s="59"/>
      <c r="AK56" s="59"/>
      <c r="AL56" s="59"/>
      <c r="AM56" s="59"/>
      <c r="AN56" s="59"/>
      <c r="AO56" s="59"/>
      <c r="AP56" s="59"/>
      <c r="AQ56" s="59"/>
      <c r="AR56" s="59"/>
      <c r="AS56" s="59"/>
      <c r="AT56" s="59"/>
      <c r="AU56" s="59"/>
      <c r="AV56" s="61"/>
      <c r="AW56" s="61"/>
      <c r="AX56" s="58"/>
      <c r="AY56" s="61"/>
      <c r="AZ56" s="58"/>
      <c r="BA56" s="59"/>
      <c r="BB56" s="59"/>
      <c r="BC56" s="59"/>
      <c r="BD56" s="62"/>
      <c r="BE56" s="59"/>
      <c r="BF56" s="58"/>
      <c r="BG56" s="59"/>
    </row>
    <row r="57" spans="1:59" ht="15.75" x14ac:dyDescent="0.25">
      <c r="A57" s="155" t="s">
        <v>615</v>
      </c>
      <c r="B57" s="59"/>
      <c r="C57" s="59"/>
      <c r="D57" s="59"/>
      <c r="E57" s="59"/>
      <c r="F57" s="59"/>
      <c r="G57" s="59"/>
      <c r="H57" s="59"/>
      <c r="I57" s="59"/>
      <c r="J57" s="59"/>
      <c r="K57" s="59"/>
      <c r="L57" s="59"/>
      <c r="M57" s="59"/>
      <c r="N57" s="59"/>
      <c r="O57" s="59"/>
      <c r="P57" s="59"/>
      <c r="Q57" s="59"/>
      <c r="R57" s="59">
        <f t="shared" si="0"/>
        <v>0</v>
      </c>
      <c r="S57" s="59"/>
      <c r="T57" s="59">
        <f t="shared" si="0"/>
        <v>0</v>
      </c>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61"/>
      <c r="AW57" s="61"/>
      <c r="AX57" s="58"/>
      <c r="AY57" s="61"/>
      <c r="AZ57" s="58"/>
      <c r="BA57" s="59">
        <v>20000</v>
      </c>
      <c r="BB57" s="59"/>
      <c r="BC57" s="59"/>
      <c r="BD57" s="62"/>
      <c r="BE57" s="59"/>
      <c r="BF57" s="58"/>
      <c r="BG57" s="59"/>
    </row>
    <row r="58" spans="1:59" ht="15.75" x14ac:dyDescent="0.25">
      <c r="A58" s="127" t="s">
        <v>1006</v>
      </c>
      <c r="B58" s="59"/>
      <c r="C58" s="59"/>
      <c r="D58" s="59"/>
      <c r="E58" s="59"/>
      <c r="F58" s="59"/>
      <c r="G58" s="59"/>
      <c r="H58" s="59"/>
      <c r="I58" s="59"/>
      <c r="J58" s="59"/>
      <c r="K58" s="59"/>
      <c r="L58" s="59"/>
      <c r="M58" s="59"/>
      <c r="N58" s="59"/>
      <c r="O58" s="59"/>
      <c r="P58" s="59"/>
      <c r="Q58" s="59"/>
      <c r="R58" s="59">
        <f t="shared" si="0"/>
        <v>0</v>
      </c>
      <c r="S58" s="59"/>
      <c r="T58" s="59">
        <f t="shared" si="0"/>
        <v>0</v>
      </c>
      <c r="U58" s="59"/>
      <c r="V58" s="59"/>
      <c r="W58" s="59"/>
      <c r="X58" s="59"/>
      <c r="Y58" s="59"/>
      <c r="Z58" s="59"/>
      <c r="AA58" s="59"/>
      <c r="AB58" s="59"/>
      <c r="AC58" s="59"/>
      <c r="AD58" s="59"/>
      <c r="AE58" s="59"/>
      <c r="AF58" s="59"/>
      <c r="AG58" s="59"/>
      <c r="AH58" s="59"/>
      <c r="AI58" s="59"/>
      <c r="AJ58" s="59"/>
      <c r="AK58" s="59"/>
      <c r="AL58" s="59"/>
      <c r="AM58" s="59">
        <v>166000</v>
      </c>
      <c r="AN58" s="59"/>
      <c r="AO58" s="59"/>
      <c r="AP58" s="59"/>
      <c r="AQ58" s="59"/>
      <c r="AR58" s="59"/>
      <c r="AS58" s="59"/>
      <c r="AT58" s="59"/>
      <c r="AU58" s="59"/>
      <c r="AV58" s="61"/>
      <c r="AW58" s="61"/>
      <c r="AX58" s="58"/>
      <c r="AY58" s="61"/>
      <c r="AZ58" s="58"/>
      <c r="BA58" s="59"/>
      <c r="BB58" s="59"/>
      <c r="BC58" s="59"/>
      <c r="BD58" s="62"/>
      <c r="BE58" s="59"/>
      <c r="BF58" s="58"/>
      <c r="BG58" s="59"/>
    </row>
    <row r="59" spans="1:59" ht="15.75" x14ac:dyDescent="0.25">
      <c r="A59" s="127"/>
      <c r="B59" s="59"/>
      <c r="C59" s="59"/>
      <c r="D59" s="59"/>
      <c r="E59" s="59"/>
      <c r="F59" s="59"/>
      <c r="G59" s="59"/>
      <c r="H59" s="59"/>
      <c r="I59" s="59"/>
      <c r="J59" s="59"/>
      <c r="K59" s="59"/>
      <c r="L59" s="59"/>
      <c r="M59" s="59"/>
      <c r="N59" s="59"/>
      <c r="O59" s="59"/>
      <c r="P59" s="59"/>
      <c r="Q59" s="59"/>
      <c r="R59" s="59">
        <f t="shared" si="0"/>
        <v>0</v>
      </c>
      <c r="S59" s="59"/>
      <c r="T59" s="59">
        <f t="shared" si="0"/>
        <v>0</v>
      </c>
      <c r="U59" s="59"/>
      <c r="V59" s="59"/>
      <c r="W59" s="59"/>
      <c r="X59" s="59"/>
      <c r="Y59" s="59"/>
      <c r="Z59" s="59"/>
      <c r="AA59" s="59"/>
      <c r="AB59" s="59"/>
      <c r="AC59" s="59"/>
      <c r="AD59" s="59"/>
      <c r="AE59" s="59"/>
      <c r="AF59" s="59"/>
      <c r="AG59" s="59"/>
      <c r="AH59" s="59"/>
      <c r="AI59" s="59"/>
      <c r="AJ59" s="59"/>
      <c r="AK59" s="59"/>
      <c r="AL59" s="59"/>
      <c r="AM59" s="59"/>
      <c r="AN59" s="59"/>
      <c r="AO59" s="59"/>
      <c r="AP59" s="59"/>
      <c r="AQ59" s="59"/>
      <c r="AR59" s="59"/>
      <c r="AS59" s="59"/>
      <c r="AT59" s="59"/>
      <c r="AU59" s="59"/>
      <c r="AV59" s="58"/>
      <c r="AW59" s="58"/>
      <c r="AX59" s="58"/>
      <c r="AY59" s="58"/>
      <c r="AZ59" s="58"/>
      <c r="BA59" s="58"/>
      <c r="BB59" s="59"/>
      <c r="BC59" s="59"/>
      <c r="BD59" s="62"/>
      <c r="BE59" s="58"/>
      <c r="BF59" s="58"/>
      <c r="BG59" s="58"/>
    </row>
    <row r="60" spans="1:59" ht="15.75" x14ac:dyDescent="0.25">
      <c r="A60" s="127" t="s">
        <v>616</v>
      </c>
      <c r="B60" s="59"/>
      <c r="C60" s="59"/>
      <c r="D60" s="59"/>
      <c r="E60" s="59"/>
      <c r="F60" s="59"/>
      <c r="G60" s="59"/>
      <c r="H60" s="59"/>
      <c r="I60" s="59"/>
      <c r="J60" s="59"/>
      <c r="K60" s="59"/>
      <c r="L60" s="59"/>
      <c r="M60" s="59"/>
      <c r="N60" s="59"/>
      <c r="O60" s="59"/>
      <c r="P60" s="59"/>
      <c r="Q60" s="59"/>
      <c r="R60" s="59">
        <f t="shared" si="0"/>
        <v>0</v>
      </c>
      <c r="S60" s="59"/>
      <c r="T60" s="59">
        <f t="shared" si="0"/>
        <v>0</v>
      </c>
      <c r="U60" s="59"/>
      <c r="V60" s="59"/>
      <c r="W60" s="59"/>
      <c r="X60" s="59"/>
      <c r="Y60" s="59"/>
      <c r="Z60" s="59"/>
      <c r="AA60" s="59"/>
      <c r="AB60" s="59"/>
      <c r="AC60" s="59"/>
      <c r="AD60" s="59"/>
      <c r="AE60" s="59"/>
      <c r="AF60" s="59"/>
      <c r="AG60" s="59"/>
      <c r="AH60" s="59"/>
      <c r="AI60" s="59"/>
      <c r="AJ60" s="59"/>
      <c r="AK60" s="59"/>
      <c r="AL60" s="59"/>
      <c r="AM60" s="59"/>
      <c r="AN60" s="59"/>
      <c r="AO60" s="59"/>
      <c r="AP60" s="59"/>
      <c r="AQ60" s="59">
        <v>3000000</v>
      </c>
      <c r="AR60" s="59"/>
      <c r="AS60" s="59"/>
      <c r="AT60" s="59"/>
      <c r="AU60" s="59"/>
      <c r="AV60" s="61"/>
      <c r="AW60" s="61"/>
      <c r="AX60" s="58"/>
      <c r="AY60" s="59"/>
      <c r="AZ60" s="58"/>
      <c r="BA60" s="59"/>
      <c r="BB60" s="59"/>
      <c r="BC60" s="59"/>
      <c r="BD60" s="62"/>
      <c r="BE60" s="59"/>
      <c r="BF60" s="58"/>
      <c r="BG60" s="59"/>
    </row>
    <row r="61" spans="1:59" ht="15.75" x14ac:dyDescent="0.25">
      <c r="A61" s="127" t="s">
        <v>618</v>
      </c>
      <c r="B61" s="59">
        <v>400000</v>
      </c>
      <c r="C61" s="59">
        <v>800000</v>
      </c>
      <c r="D61" s="59"/>
      <c r="E61" s="59"/>
      <c r="F61" s="59"/>
      <c r="G61" s="59"/>
      <c r="H61" s="59"/>
      <c r="I61" s="59"/>
      <c r="J61" s="59"/>
      <c r="K61" s="59"/>
      <c r="L61" s="59"/>
      <c r="M61" s="59"/>
      <c r="N61" s="59"/>
      <c r="O61" s="59"/>
      <c r="P61" s="59"/>
      <c r="Q61" s="59"/>
      <c r="R61" s="59">
        <f t="shared" si="0"/>
        <v>0</v>
      </c>
      <c r="S61" s="59"/>
      <c r="T61" s="59">
        <f t="shared" si="0"/>
        <v>0</v>
      </c>
      <c r="U61" s="59"/>
      <c r="V61" s="59"/>
      <c r="W61" s="59"/>
      <c r="X61" s="59"/>
      <c r="Y61" s="59"/>
      <c r="Z61" s="59"/>
      <c r="AA61" s="59"/>
      <c r="AB61" s="59"/>
      <c r="AC61" s="59"/>
      <c r="AD61" s="59"/>
      <c r="AE61" s="59"/>
      <c r="AF61" s="59"/>
      <c r="AG61" s="59"/>
      <c r="AH61" s="59"/>
      <c r="AI61" s="59"/>
      <c r="AJ61" s="59"/>
      <c r="AK61" s="59"/>
      <c r="AL61" s="59"/>
      <c r="AM61" s="59"/>
      <c r="AN61" s="59"/>
      <c r="AO61" s="59"/>
      <c r="AP61" s="59">
        <v>737660</v>
      </c>
      <c r="AQ61" s="59"/>
      <c r="AR61" s="59"/>
      <c r="AS61" s="59"/>
      <c r="AT61" s="59"/>
      <c r="AU61" s="59"/>
      <c r="AV61" s="61"/>
      <c r="AW61" s="61"/>
      <c r="AX61" s="58"/>
      <c r="AY61" s="59"/>
      <c r="AZ61" s="58"/>
      <c r="BA61" s="59"/>
      <c r="BB61" s="59"/>
      <c r="BC61" s="59"/>
      <c r="BD61" s="62"/>
      <c r="BE61" s="59"/>
      <c r="BF61" s="58"/>
      <c r="BG61" s="59"/>
    </row>
    <row r="62" spans="1:59" ht="15.75" x14ac:dyDescent="0.25">
      <c r="A62" s="127" t="s">
        <v>617</v>
      </c>
      <c r="B62" s="59"/>
      <c r="C62" s="59"/>
      <c r="D62" s="59"/>
      <c r="E62" s="59"/>
      <c r="F62" s="59"/>
      <c r="G62" s="59"/>
      <c r="H62" s="59"/>
      <c r="I62" s="59"/>
      <c r="J62" s="59"/>
      <c r="K62" s="59"/>
      <c r="L62" s="59"/>
      <c r="M62" s="59"/>
      <c r="N62" s="59"/>
      <c r="O62" s="59"/>
      <c r="P62" s="59"/>
      <c r="Q62" s="59"/>
      <c r="R62" s="59">
        <f t="shared" si="0"/>
        <v>0</v>
      </c>
      <c r="S62" s="59"/>
      <c r="T62" s="59">
        <f t="shared" si="0"/>
        <v>0</v>
      </c>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61"/>
      <c r="AW62" s="61"/>
      <c r="AX62" s="58"/>
      <c r="AY62" s="61"/>
      <c r="AZ62" s="58"/>
      <c r="BA62" s="59"/>
      <c r="BB62" s="59">
        <v>500000</v>
      </c>
      <c r="BC62" s="59"/>
      <c r="BD62" s="62"/>
      <c r="BE62" s="59"/>
      <c r="BF62" s="58"/>
      <c r="BG62" s="59"/>
    </row>
    <row r="63" spans="1:59" ht="31.5" x14ac:dyDescent="0.25">
      <c r="A63" s="127" t="s">
        <v>1007</v>
      </c>
      <c r="B63" s="59">
        <v>600000</v>
      </c>
      <c r="C63" s="59"/>
      <c r="D63" s="59"/>
      <c r="E63" s="59"/>
      <c r="F63" s="59"/>
      <c r="G63" s="59"/>
      <c r="H63" s="59"/>
      <c r="I63" s="59"/>
      <c r="J63" s="59"/>
      <c r="K63" s="59"/>
      <c r="L63" s="59"/>
      <c r="M63" s="59"/>
      <c r="N63" s="59"/>
      <c r="O63" s="59"/>
      <c r="P63" s="59"/>
      <c r="Q63" s="59"/>
      <c r="R63" s="59">
        <f t="shared" si="0"/>
        <v>0</v>
      </c>
      <c r="S63" s="59"/>
      <c r="T63" s="59">
        <f t="shared" si="0"/>
        <v>0</v>
      </c>
      <c r="U63" s="59"/>
      <c r="V63" s="59"/>
      <c r="W63" s="59"/>
      <c r="X63" s="59"/>
      <c r="Y63" s="59"/>
      <c r="Z63" s="59"/>
      <c r="AA63" s="59"/>
      <c r="AB63" s="59"/>
      <c r="AC63" s="59"/>
      <c r="AD63" s="59"/>
      <c r="AE63" s="59"/>
      <c r="AF63" s="59"/>
      <c r="AG63" s="59"/>
      <c r="AH63" s="59"/>
      <c r="AI63" s="59"/>
      <c r="AJ63" s="59"/>
      <c r="AK63" s="59"/>
      <c r="AL63" s="59"/>
      <c r="AM63" s="59"/>
      <c r="AN63" s="59"/>
      <c r="AO63" s="59"/>
      <c r="AP63" s="59"/>
      <c r="AQ63" s="59"/>
      <c r="AR63" s="59"/>
      <c r="AS63" s="59"/>
      <c r="AT63" s="59"/>
      <c r="AU63" s="59"/>
      <c r="AV63" s="61"/>
      <c r="AW63" s="61"/>
      <c r="AX63" s="58"/>
      <c r="AY63" s="61"/>
      <c r="AZ63" s="58"/>
      <c r="BA63" s="59"/>
      <c r="BB63" s="59"/>
      <c r="BC63" s="59"/>
      <c r="BD63" s="62"/>
      <c r="BE63" s="59"/>
      <c r="BF63" s="58"/>
      <c r="BG63" s="59"/>
    </row>
    <row r="64" spans="1:59" ht="31.5" x14ac:dyDescent="0.25">
      <c r="A64" s="127" t="s">
        <v>1008</v>
      </c>
      <c r="B64" s="59">
        <v>4690</v>
      </c>
      <c r="C64" s="59">
        <v>30000</v>
      </c>
      <c r="D64" s="59"/>
      <c r="E64" s="59"/>
      <c r="F64" s="59"/>
      <c r="G64" s="59"/>
      <c r="H64" s="59"/>
      <c r="I64" s="59"/>
      <c r="J64" s="59"/>
      <c r="K64" s="59"/>
      <c r="L64" s="59"/>
      <c r="M64" s="59"/>
      <c r="N64" s="59"/>
      <c r="O64" s="59"/>
      <c r="P64" s="59"/>
      <c r="Q64" s="59"/>
      <c r="R64" s="59">
        <f t="shared" si="0"/>
        <v>0</v>
      </c>
      <c r="S64" s="59">
        <f>132760+94588</f>
        <v>227348</v>
      </c>
      <c r="T64" s="59">
        <f t="shared" si="0"/>
        <v>181878.39999999999</v>
      </c>
      <c r="U64" s="59"/>
      <c r="V64" s="59"/>
      <c r="W64" s="59"/>
      <c r="X64" s="59"/>
      <c r="Y64" s="59"/>
      <c r="Z64" s="59"/>
      <c r="AA64" s="59"/>
      <c r="AB64" s="59"/>
      <c r="AC64" s="59"/>
      <c r="AD64" s="59">
        <v>530160</v>
      </c>
      <c r="AE64" s="59">
        <v>0</v>
      </c>
      <c r="AF64" s="59">
        <v>138380</v>
      </c>
      <c r="AG64" s="59">
        <v>466520</v>
      </c>
      <c r="AH64" s="59"/>
      <c r="AI64" s="59">
        <v>975400</v>
      </c>
      <c r="AJ64" s="59">
        <v>368560</v>
      </c>
      <c r="AK64" s="59"/>
      <c r="AL64" s="59"/>
      <c r="AM64" s="59"/>
      <c r="AN64" s="59"/>
      <c r="AO64" s="59"/>
      <c r="AP64" s="59"/>
      <c r="AQ64" s="59"/>
      <c r="AR64" s="59"/>
      <c r="AS64" s="59"/>
      <c r="AT64" s="59"/>
      <c r="AU64" s="59"/>
      <c r="AV64" s="61"/>
      <c r="AW64" s="61"/>
      <c r="AX64" s="58"/>
      <c r="AY64" s="61"/>
      <c r="AZ64" s="58"/>
      <c r="BA64" s="59"/>
      <c r="BB64" s="59"/>
      <c r="BC64" s="59"/>
      <c r="BD64" s="62"/>
      <c r="BE64" s="59"/>
      <c r="BF64" s="58"/>
      <c r="BG64" s="59"/>
    </row>
    <row r="65" spans="1:59" ht="47.25" x14ac:dyDescent="0.25">
      <c r="A65" s="127" t="s">
        <v>1009</v>
      </c>
      <c r="B65" s="59"/>
      <c r="C65" s="59"/>
      <c r="D65" s="59"/>
      <c r="E65" s="59"/>
      <c r="F65" s="59"/>
      <c r="G65" s="59"/>
      <c r="H65" s="59"/>
      <c r="I65" s="59"/>
      <c r="J65" s="59"/>
      <c r="K65" s="59"/>
      <c r="L65" s="59"/>
      <c r="M65" s="59"/>
      <c r="N65" s="59"/>
      <c r="O65" s="59"/>
      <c r="P65" s="59"/>
      <c r="Q65" s="59"/>
      <c r="R65" s="59">
        <f t="shared" si="0"/>
        <v>0</v>
      </c>
      <c r="S65" s="59"/>
      <c r="T65" s="59">
        <f t="shared" si="0"/>
        <v>0</v>
      </c>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61"/>
      <c r="AW65" s="61"/>
      <c r="AX65" s="58"/>
      <c r="AY65" s="61"/>
      <c r="AZ65" s="58"/>
      <c r="BA65" s="59"/>
      <c r="BB65" s="59">
        <v>1152500</v>
      </c>
      <c r="BC65" s="59"/>
      <c r="BD65" s="62"/>
      <c r="BE65" s="59"/>
      <c r="BF65" s="58"/>
      <c r="BG65" s="59"/>
    </row>
    <row r="66" spans="1:59" ht="15.75" x14ac:dyDescent="0.25">
      <c r="A66" s="127" t="s">
        <v>895</v>
      </c>
      <c r="B66" s="59">
        <f>3320+70000</f>
        <v>73320</v>
      </c>
      <c r="C66" s="59">
        <v>8640</v>
      </c>
      <c r="D66" s="59"/>
      <c r="E66" s="59"/>
      <c r="F66" s="59"/>
      <c r="G66" s="59"/>
      <c r="H66" s="59"/>
      <c r="I66" s="59"/>
      <c r="J66" s="59"/>
      <c r="K66" s="59"/>
      <c r="L66" s="59"/>
      <c r="M66" s="59"/>
      <c r="N66" s="59"/>
      <c r="O66" s="59"/>
      <c r="P66" s="59"/>
      <c r="Q66" s="59"/>
      <c r="R66" s="59">
        <f t="shared" si="0"/>
        <v>0</v>
      </c>
      <c r="S66" s="59"/>
      <c r="T66" s="59">
        <f t="shared" si="0"/>
        <v>0</v>
      </c>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61"/>
      <c r="AW66" s="61"/>
      <c r="AX66" s="58"/>
      <c r="AY66" s="61"/>
      <c r="AZ66" s="58"/>
      <c r="BA66" s="59">
        <v>40000</v>
      </c>
      <c r="BB66" s="59"/>
      <c r="BC66" s="59"/>
      <c r="BD66" s="62"/>
      <c r="BE66" s="59"/>
      <c r="BF66" s="58"/>
      <c r="BG66" s="59"/>
    </row>
    <row r="67" spans="1:59" ht="15.75" x14ac:dyDescent="0.25">
      <c r="A67" s="127" t="s">
        <v>1010</v>
      </c>
      <c r="B67" s="59">
        <v>6000</v>
      </c>
      <c r="C67" s="59">
        <v>4330</v>
      </c>
      <c r="D67" s="59">
        <f>364781+142800</f>
        <v>507581</v>
      </c>
      <c r="E67" s="59"/>
      <c r="F67" s="59"/>
      <c r="G67" s="59"/>
      <c r="H67" s="59"/>
      <c r="I67" s="59"/>
      <c r="J67" s="59"/>
      <c r="K67" s="59"/>
      <c r="L67" s="59"/>
      <c r="M67" s="59"/>
      <c r="N67" s="59"/>
      <c r="O67" s="59"/>
      <c r="P67" s="59"/>
      <c r="Q67" s="59"/>
      <c r="R67" s="59">
        <f t="shared" si="0"/>
        <v>0</v>
      </c>
      <c r="S67" s="59"/>
      <c r="T67" s="59">
        <f t="shared" si="0"/>
        <v>0</v>
      </c>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61"/>
      <c r="AW67" s="61"/>
      <c r="AX67" s="58"/>
      <c r="AY67" s="61"/>
      <c r="AZ67" s="58"/>
      <c r="BA67" s="59"/>
      <c r="BB67" s="59"/>
      <c r="BC67" s="59"/>
      <c r="BD67" s="62"/>
      <c r="BE67" s="59"/>
      <c r="BF67" s="58"/>
      <c r="BG67" s="59"/>
    </row>
    <row r="68" spans="1:59" ht="15.75" x14ac:dyDescent="0.25">
      <c r="A68" s="127" t="s">
        <v>587</v>
      </c>
      <c r="B68" s="59"/>
      <c r="C68" s="59"/>
      <c r="D68" s="59"/>
      <c r="E68" s="59"/>
      <c r="F68" s="59"/>
      <c r="G68" s="59"/>
      <c r="H68" s="59">
        <v>69500</v>
      </c>
      <c r="I68" s="59"/>
      <c r="J68" s="59"/>
      <c r="K68" s="59"/>
      <c r="L68" s="59"/>
      <c r="M68" s="59"/>
      <c r="N68" s="59"/>
      <c r="O68" s="59"/>
      <c r="P68" s="59"/>
      <c r="Q68" s="59"/>
      <c r="R68" s="59">
        <f t="shared" si="0"/>
        <v>0</v>
      </c>
      <c r="S68" s="59"/>
      <c r="T68" s="59">
        <f t="shared" si="0"/>
        <v>0</v>
      </c>
      <c r="U68" s="59"/>
      <c r="V68" s="59"/>
      <c r="W68" s="59"/>
      <c r="X68" s="59"/>
      <c r="Y68" s="59"/>
      <c r="Z68" s="59"/>
      <c r="AA68" s="59"/>
      <c r="AB68" s="59"/>
      <c r="AC68" s="59"/>
      <c r="AD68" s="59"/>
      <c r="AE68" s="59"/>
      <c r="AF68" s="59"/>
      <c r="AG68" s="59"/>
      <c r="AH68" s="59"/>
      <c r="AI68" s="59"/>
      <c r="AJ68" s="59"/>
      <c r="AK68" s="59"/>
      <c r="AL68" s="59"/>
      <c r="AM68" s="59"/>
      <c r="AN68" s="59"/>
      <c r="AO68" s="59"/>
      <c r="AP68" s="59"/>
      <c r="AQ68" s="59"/>
      <c r="AR68" s="59"/>
      <c r="AS68" s="59"/>
      <c r="AT68" s="59"/>
      <c r="AU68" s="59"/>
      <c r="AV68" s="61"/>
      <c r="AW68" s="61"/>
      <c r="AX68" s="58"/>
      <c r="AY68" s="61"/>
      <c r="AZ68" s="58"/>
      <c r="BA68" s="59"/>
      <c r="BB68" s="59"/>
      <c r="BC68" s="59"/>
      <c r="BD68" s="62"/>
      <c r="BE68" s="59"/>
      <c r="BF68" s="58"/>
      <c r="BG68" s="59"/>
    </row>
    <row r="69" spans="1:59" ht="15.75" x14ac:dyDescent="0.25">
      <c r="A69" s="127"/>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61"/>
      <c r="AW69" s="61"/>
      <c r="AX69" s="58"/>
      <c r="AY69" s="61"/>
      <c r="AZ69" s="58"/>
      <c r="BA69" s="59"/>
      <c r="BB69" s="59"/>
      <c r="BC69" s="59"/>
      <c r="BD69" s="62"/>
      <c r="BE69" s="59"/>
      <c r="BF69" s="58"/>
      <c r="BG69" s="59"/>
    </row>
    <row r="70" spans="1:59" ht="15.75" x14ac:dyDescent="0.25">
      <c r="A70" s="127" t="s">
        <v>1011</v>
      </c>
      <c r="B70" s="59"/>
      <c r="C70" s="59"/>
      <c r="D70" s="59"/>
      <c r="E70" s="59"/>
      <c r="F70" s="59"/>
      <c r="G70" s="59"/>
      <c r="H70" s="59"/>
      <c r="I70" s="59"/>
      <c r="J70" s="59"/>
      <c r="K70" s="59"/>
      <c r="L70" s="59"/>
      <c r="M70" s="59"/>
      <c r="N70" s="59"/>
      <c r="O70" s="59"/>
      <c r="P70" s="59"/>
      <c r="Q70" s="59"/>
      <c r="R70" s="59"/>
      <c r="S70" s="59"/>
      <c r="T70" s="59">
        <f t="shared" si="0"/>
        <v>0</v>
      </c>
      <c r="U70" s="59"/>
      <c r="V70" s="59"/>
      <c r="W70" s="59"/>
      <c r="X70" s="59"/>
      <c r="Y70" s="59"/>
      <c r="Z70" s="59"/>
      <c r="AA70" s="59"/>
      <c r="AB70" s="59"/>
      <c r="AC70" s="59"/>
      <c r="AD70" s="59"/>
      <c r="AE70" s="59"/>
      <c r="AF70" s="59"/>
      <c r="AG70" s="59"/>
      <c r="AH70" s="59"/>
      <c r="AI70" s="59"/>
      <c r="AJ70" s="59"/>
      <c r="AK70" s="59"/>
      <c r="AL70" s="59"/>
      <c r="AM70" s="59">
        <v>376000</v>
      </c>
      <c r="AN70" s="59"/>
      <c r="AO70" s="59"/>
      <c r="AP70" s="59"/>
      <c r="AQ70" s="59"/>
      <c r="AR70" s="59"/>
      <c r="AS70" s="59"/>
      <c r="AT70" s="59"/>
      <c r="AU70" s="59"/>
      <c r="AV70" s="61"/>
      <c r="AW70" s="61"/>
      <c r="AX70" s="58"/>
      <c r="AY70" s="61"/>
      <c r="AZ70" s="58"/>
      <c r="BA70" s="59"/>
      <c r="BB70" s="59"/>
      <c r="BC70" s="59"/>
      <c r="BD70" s="62"/>
      <c r="BE70" s="59"/>
      <c r="BF70" s="58"/>
      <c r="BG70" s="59"/>
    </row>
    <row r="71" spans="1:59" ht="15.75" x14ac:dyDescent="0.25">
      <c r="A71" s="127" t="s">
        <v>588</v>
      </c>
      <c r="B71" s="59"/>
      <c r="C71" s="59"/>
      <c r="D71" s="59"/>
      <c r="E71" s="59"/>
      <c r="F71" s="59"/>
      <c r="G71" s="59">
        <v>251225</v>
      </c>
      <c r="H71" s="59">
        <v>260680</v>
      </c>
      <c r="I71" s="59"/>
      <c r="J71" s="59">
        <v>23920</v>
      </c>
      <c r="K71" s="59">
        <v>9920</v>
      </c>
      <c r="L71" s="59"/>
      <c r="M71" s="59"/>
      <c r="N71" s="59"/>
      <c r="O71" s="59"/>
      <c r="P71" s="59"/>
      <c r="Q71" s="59"/>
      <c r="R71" s="59"/>
      <c r="S71" s="59">
        <v>52640</v>
      </c>
      <c r="T71" s="59">
        <f t="shared" si="0"/>
        <v>42112</v>
      </c>
      <c r="U71" s="59"/>
      <c r="V71" s="59"/>
      <c r="W71" s="59">
        <v>101400</v>
      </c>
      <c r="X71" s="59">
        <f>108000+39000</f>
        <v>147000</v>
      </c>
      <c r="Y71" s="59">
        <v>331450</v>
      </c>
      <c r="Z71" s="59">
        <v>197360</v>
      </c>
      <c r="AA71" s="59">
        <v>36693</v>
      </c>
      <c r="AB71" s="59"/>
      <c r="AC71" s="59">
        <v>34010</v>
      </c>
      <c r="AD71" s="59">
        <v>194100</v>
      </c>
      <c r="AE71" s="59">
        <v>54400</v>
      </c>
      <c r="AF71" s="59">
        <v>281160</v>
      </c>
      <c r="AG71" s="59">
        <v>556340</v>
      </c>
      <c r="AH71" s="59">
        <v>672380</v>
      </c>
      <c r="AI71" s="59"/>
      <c r="AJ71" s="59"/>
      <c r="AK71" s="59">
        <v>474680</v>
      </c>
      <c r="AL71" s="59">
        <v>107050</v>
      </c>
      <c r="AM71" s="59"/>
      <c r="AN71" s="59"/>
      <c r="AO71" s="59"/>
      <c r="AP71" s="59"/>
      <c r="AQ71" s="59"/>
      <c r="AR71" s="59"/>
      <c r="AS71" s="59"/>
      <c r="AT71" s="59">
        <v>12500</v>
      </c>
      <c r="AU71" s="59">
        <v>350000</v>
      </c>
      <c r="AV71" s="61">
        <v>223240</v>
      </c>
      <c r="AW71" s="61">
        <v>323000</v>
      </c>
      <c r="AX71" s="58"/>
      <c r="AY71" s="61">
        <v>2349360</v>
      </c>
      <c r="AZ71" s="58"/>
      <c r="BA71" s="59"/>
      <c r="BB71" s="59"/>
      <c r="BC71" s="59"/>
      <c r="BD71" s="62"/>
      <c r="BE71" s="59">
        <v>183000</v>
      </c>
      <c r="BF71" s="58"/>
      <c r="BG71" s="59"/>
    </row>
    <row r="72" spans="1:59" ht="15.75" x14ac:dyDescent="0.25">
      <c r="A72" s="127"/>
      <c r="B72" s="59"/>
      <c r="C72" s="59"/>
      <c r="D72" s="59"/>
      <c r="E72" s="59"/>
      <c r="F72" s="59"/>
      <c r="G72" s="59"/>
      <c r="H72" s="59"/>
      <c r="I72" s="59"/>
      <c r="J72" s="59"/>
      <c r="K72" s="59"/>
      <c r="L72" s="59"/>
      <c r="M72" s="59"/>
      <c r="N72" s="59"/>
      <c r="O72" s="59"/>
      <c r="P72" s="59"/>
      <c r="Q72" s="59"/>
      <c r="R72" s="59">
        <f t="shared" si="0"/>
        <v>0</v>
      </c>
      <c r="S72" s="59"/>
      <c r="T72" s="59">
        <f t="shared" si="0"/>
        <v>0</v>
      </c>
      <c r="U72" s="59"/>
      <c r="V72" s="59"/>
      <c r="W72" s="59"/>
      <c r="X72" s="59"/>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61"/>
      <c r="AW72" s="61"/>
      <c r="AX72" s="58"/>
      <c r="AY72" s="61"/>
      <c r="AZ72" s="58"/>
      <c r="BA72" s="59"/>
      <c r="BB72" s="59"/>
      <c r="BC72" s="59"/>
      <c r="BD72" s="62"/>
      <c r="BE72" s="59"/>
      <c r="BF72" s="58"/>
      <c r="BG72" s="59"/>
    </row>
    <row r="73" spans="1:59" ht="15.75" x14ac:dyDescent="0.25">
      <c r="A73" s="134" t="s">
        <v>83</v>
      </c>
      <c r="B73" s="56">
        <f t="shared" ref="B73:K73" si="3">SUM(B8:B71)</f>
        <v>1879797</v>
      </c>
      <c r="C73" s="56">
        <f t="shared" si="3"/>
        <v>3161638</v>
      </c>
      <c r="D73" s="56">
        <f t="shared" si="3"/>
        <v>2443473</v>
      </c>
      <c r="E73" s="56">
        <f t="shared" si="3"/>
        <v>215820</v>
      </c>
      <c r="F73" s="56">
        <f t="shared" si="3"/>
        <v>153650</v>
      </c>
      <c r="G73" s="56">
        <f t="shared" si="3"/>
        <v>742425</v>
      </c>
      <c r="H73" s="56">
        <f t="shared" si="3"/>
        <v>1201988</v>
      </c>
      <c r="I73" s="56">
        <f t="shared" si="3"/>
        <v>399490</v>
      </c>
      <c r="J73" s="56">
        <f t="shared" si="3"/>
        <v>345224</v>
      </c>
      <c r="K73" s="56">
        <f t="shared" si="3"/>
        <v>696626</v>
      </c>
      <c r="L73" s="56"/>
      <c r="M73" s="56"/>
      <c r="N73" s="56"/>
      <c r="O73" s="56"/>
      <c r="P73" s="56">
        <f>SUM(P8:P71)</f>
        <v>620970</v>
      </c>
      <c r="Q73" s="56">
        <f>SUM(Q8:Q71)</f>
        <v>1787128</v>
      </c>
      <c r="R73" s="56">
        <f t="shared" si="0"/>
        <v>1429702.4</v>
      </c>
      <c r="S73" s="56">
        <f>SUM(S8:S71)</f>
        <v>1087978</v>
      </c>
      <c r="T73" s="56">
        <f t="shared" si="0"/>
        <v>870382.4</v>
      </c>
      <c r="U73" s="56">
        <f>418945</f>
        <v>418945</v>
      </c>
      <c r="V73" s="56">
        <f t="shared" ref="V73:AW73" si="4">SUM(V8:V71)</f>
        <v>706500</v>
      </c>
      <c r="W73" s="56">
        <f t="shared" si="4"/>
        <v>868170</v>
      </c>
      <c r="X73" s="56">
        <f t="shared" si="4"/>
        <v>878820</v>
      </c>
      <c r="Y73" s="56">
        <f t="shared" si="4"/>
        <v>1409715</v>
      </c>
      <c r="Z73" s="56">
        <f t="shared" si="4"/>
        <v>1167280</v>
      </c>
      <c r="AA73" s="56">
        <f t="shared" si="4"/>
        <v>1795112</v>
      </c>
      <c r="AB73" s="56">
        <f t="shared" si="4"/>
        <v>2345714</v>
      </c>
      <c r="AC73" s="56">
        <f t="shared" si="4"/>
        <v>1450160</v>
      </c>
      <c r="AD73" s="56">
        <f t="shared" si="4"/>
        <v>1576330</v>
      </c>
      <c r="AE73" s="56">
        <f t="shared" si="4"/>
        <v>744722</v>
      </c>
      <c r="AF73" s="56">
        <f t="shared" si="4"/>
        <v>1400214</v>
      </c>
      <c r="AG73" s="56">
        <f t="shared" si="4"/>
        <v>1806972</v>
      </c>
      <c r="AH73" s="56">
        <f t="shared" si="4"/>
        <v>1962380</v>
      </c>
      <c r="AI73" s="56">
        <f t="shared" si="4"/>
        <v>3200579</v>
      </c>
      <c r="AJ73" s="56">
        <f t="shared" si="4"/>
        <v>1677100</v>
      </c>
      <c r="AK73" s="56">
        <f t="shared" si="4"/>
        <v>1994680</v>
      </c>
      <c r="AL73" s="56">
        <f t="shared" si="4"/>
        <v>2835217</v>
      </c>
      <c r="AM73" s="56">
        <f t="shared" si="4"/>
        <v>3938410</v>
      </c>
      <c r="AN73" s="56">
        <f t="shared" si="4"/>
        <v>3644529</v>
      </c>
      <c r="AO73" s="56">
        <f t="shared" si="4"/>
        <v>3721491</v>
      </c>
      <c r="AP73" s="56">
        <f t="shared" si="4"/>
        <v>3309931</v>
      </c>
      <c r="AQ73" s="56">
        <f t="shared" si="4"/>
        <v>6727316</v>
      </c>
      <c r="AR73" s="56">
        <f t="shared" si="4"/>
        <v>3873271</v>
      </c>
      <c r="AS73" s="56">
        <f t="shared" si="4"/>
        <v>4850040</v>
      </c>
      <c r="AT73" s="56">
        <f t="shared" si="4"/>
        <v>4268889</v>
      </c>
      <c r="AU73" s="56">
        <f t="shared" si="4"/>
        <v>5873705</v>
      </c>
      <c r="AV73" s="56">
        <f t="shared" si="4"/>
        <v>6196705</v>
      </c>
      <c r="AW73" s="56">
        <f t="shared" si="4"/>
        <v>5211961</v>
      </c>
      <c r="AX73" s="56"/>
      <c r="AY73" s="56">
        <f>SUM(AY8:AY71)</f>
        <v>7808000</v>
      </c>
      <c r="AZ73" s="56"/>
      <c r="BA73" s="56">
        <f>SUM(BA8:BA71)</f>
        <v>6554200</v>
      </c>
      <c r="BB73" s="56">
        <f>SUM(BB8:BB71)</f>
        <v>8110640</v>
      </c>
      <c r="BC73" s="56"/>
      <c r="BD73" s="56"/>
      <c r="BE73" s="56">
        <f>SUM(BE8:BE71)</f>
        <v>13864448</v>
      </c>
      <c r="BF73" s="56"/>
      <c r="BG73" s="56">
        <f>SUM(BG8:BG71)</f>
        <v>19250000</v>
      </c>
    </row>
    <row r="74" spans="1:59" ht="15.75" x14ac:dyDescent="0.25">
      <c r="A74" s="135"/>
      <c r="B74" s="56"/>
      <c r="C74" s="56"/>
      <c r="D74" s="56"/>
      <c r="E74" s="56"/>
      <c r="F74" s="56"/>
      <c r="G74" s="56"/>
      <c r="H74" s="56"/>
      <c r="I74" s="56"/>
      <c r="J74" s="56"/>
      <c r="K74" s="56"/>
      <c r="L74" s="56"/>
      <c r="M74" s="56"/>
      <c r="N74" s="56"/>
      <c r="O74" s="56"/>
      <c r="P74" s="56"/>
      <c r="Q74" s="56"/>
      <c r="R74" s="56">
        <f t="shared" ref="R74:T74" si="5">(Q74/15)*12</f>
        <v>0</v>
      </c>
      <c r="S74" s="56"/>
      <c r="T74" s="56">
        <f t="shared" si="5"/>
        <v>0</v>
      </c>
      <c r="U74" s="56"/>
      <c r="V74" s="56"/>
      <c r="W74" s="56"/>
      <c r="X74" s="56"/>
      <c r="Y74" s="56"/>
      <c r="Z74" s="56"/>
      <c r="AA74" s="56"/>
      <c r="AB74" s="56"/>
      <c r="AC74" s="56"/>
      <c r="AD74" s="56"/>
      <c r="AE74" s="56"/>
      <c r="AF74" s="56"/>
      <c r="AG74" s="56"/>
      <c r="AH74" s="56"/>
      <c r="AI74" s="56">
        <f>SUM(AI11:AI48)</f>
        <v>1199270</v>
      </c>
      <c r="AJ74" s="56"/>
      <c r="AK74" s="56"/>
      <c r="AL74" s="56"/>
      <c r="AM74" s="56"/>
      <c r="AN74" s="56"/>
      <c r="AO74" s="56"/>
      <c r="AP74" s="56">
        <f>AP73-AP61</f>
        <v>2572271</v>
      </c>
      <c r="AQ74" s="56"/>
      <c r="AR74" s="56"/>
      <c r="AS74" s="56"/>
      <c r="AT74" s="56"/>
      <c r="AU74" s="56"/>
      <c r="AV74" s="66"/>
      <c r="AW74" s="66"/>
      <c r="AX74" s="55"/>
      <c r="AY74" s="56"/>
      <c r="AZ74" s="55"/>
      <c r="BA74" s="56"/>
      <c r="BB74" s="56"/>
      <c r="BC74" s="56"/>
      <c r="BD74" s="60"/>
      <c r="BE74" s="56"/>
      <c r="BF74" s="55"/>
      <c r="BG74" s="56"/>
    </row>
    <row r="75" spans="1:59" ht="15.75" x14ac:dyDescent="0.25">
      <c r="A75" s="136" t="s">
        <v>619</v>
      </c>
      <c r="B75" s="56">
        <f>B73-B8</f>
        <v>1619521</v>
      </c>
      <c r="C75" s="56">
        <f t="shared" ref="C75:BG75" si="6">C73-C8</f>
        <v>1830430</v>
      </c>
      <c r="D75" s="56">
        <f t="shared" si="6"/>
        <v>725781</v>
      </c>
      <c r="E75" s="56">
        <f t="shared" si="6"/>
        <v>215820</v>
      </c>
      <c r="F75" s="56">
        <f t="shared" si="6"/>
        <v>153650</v>
      </c>
      <c r="G75" s="56">
        <f t="shared" si="6"/>
        <v>742425</v>
      </c>
      <c r="H75" s="56">
        <f t="shared" si="6"/>
        <v>900252</v>
      </c>
      <c r="I75" s="56">
        <f t="shared" si="6"/>
        <v>399490</v>
      </c>
      <c r="J75" s="56">
        <f t="shared" si="6"/>
        <v>345224</v>
      </c>
      <c r="K75" s="56">
        <f t="shared" si="6"/>
        <v>621472</v>
      </c>
      <c r="L75" s="56">
        <f t="shared" si="6"/>
        <v>0</v>
      </c>
      <c r="M75" s="56">
        <f t="shared" si="6"/>
        <v>0</v>
      </c>
      <c r="N75" s="56">
        <f t="shared" si="6"/>
        <v>0</v>
      </c>
      <c r="O75" s="56">
        <f t="shared" si="6"/>
        <v>0</v>
      </c>
      <c r="P75" s="56">
        <f t="shared" si="6"/>
        <v>565530</v>
      </c>
      <c r="Q75" s="56">
        <f t="shared" si="6"/>
        <v>1374041</v>
      </c>
      <c r="R75" s="56">
        <f t="shared" si="6"/>
        <v>1099232.7999999998</v>
      </c>
      <c r="S75" s="56">
        <f t="shared" si="6"/>
        <v>1019668</v>
      </c>
      <c r="T75" s="56">
        <f t="shared" si="6"/>
        <v>815734.4</v>
      </c>
      <c r="U75" s="56">
        <f t="shared" si="6"/>
        <v>418945</v>
      </c>
      <c r="V75" s="56">
        <f t="shared" si="6"/>
        <v>706500</v>
      </c>
      <c r="W75" s="56">
        <f t="shared" si="6"/>
        <v>868170</v>
      </c>
      <c r="X75" s="56">
        <f t="shared" si="6"/>
        <v>878820</v>
      </c>
      <c r="Y75" s="56">
        <f t="shared" si="6"/>
        <v>1185490</v>
      </c>
      <c r="Z75" s="56">
        <f t="shared" si="6"/>
        <v>1167280</v>
      </c>
      <c r="AA75" s="56">
        <f t="shared" si="6"/>
        <v>1472241</v>
      </c>
      <c r="AB75" s="56">
        <f t="shared" si="6"/>
        <v>2053933</v>
      </c>
      <c r="AC75" s="56">
        <f t="shared" si="6"/>
        <v>1450160</v>
      </c>
      <c r="AD75" s="56">
        <f t="shared" si="6"/>
        <v>1576330</v>
      </c>
      <c r="AE75" s="56">
        <f t="shared" si="6"/>
        <v>744722</v>
      </c>
      <c r="AF75" s="56">
        <f t="shared" si="6"/>
        <v>1400214</v>
      </c>
      <c r="AG75" s="56">
        <f t="shared" si="6"/>
        <v>1806972</v>
      </c>
      <c r="AH75" s="56">
        <f t="shared" si="6"/>
        <v>1962380</v>
      </c>
      <c r="AI75" s="56">
        <f t="shared" si="6"/>
        <v>2636705</v>
      </c>
      <c r="AJ75" s="56">
        <f t="shared" si="6"/>
        <v>1677100</v>
      </c>
      <c r="AK75" s="56">
        <f t="shared" si="6"/>
        <v>1994680</v>
      </c>
      <c r="AL75" s="56">
        <f t="shared" si="6"/>
        <v>2831670</v>
      </c>
      <c r="AM75" s="56">
        <f t="shared" si="6"/>
        <v>3345918</v>
      </c>
      <c r="AN75" s="56">
        <f t="shared" si="6"/>
        <v>1720810</v>
      </c>
      <c r="AO75" s="56">
        <f t="shared" si="6"/>
        <v>3721491</v>
      </c>
      <c r="AP75" s="56">
        <f t="shared" si="6"/>
        <v>3309931</v>
      </c>
      <c r="AQ75" s="56">
        <f t="shared" si="6"/>
        <v>6727316</v>
      </c>
      <c r="AR75" s="56">
        <f t="shared" si="6"/>
        <v>3506573</v>
      </c>
      <c r="AS75" s="56">
        <f t="shared" si="6"/>
        <v>4500982</v>
      </c>
      <c r="AT75" s="56">
        <f t="shared" si="6"/>
        <v>4142768</v>
      </c>
      <c r="AU75" s="56">
        <f t="shared" si="6"/>
        <v>4693660</v>
      </c>
      <c r="AV75" s="56">
        <f t="shared" si="6"/>
        <v>5016660</v>
      </c>
      <c r="AW75" s="56">
        <f t="shared" si="6"/>
        <v>4743120</v>
      </c>
      <c r="AX75" s="56">
        <f t="shared" si="6"/>
        <v>0</v>
      </c>
      <c r="AY75" s="56">
        <f t="shared" si="6"/>
        <v>7119360</v>
      </c>
      <c r="AZ75" s="56">
        <f t="shared" si="6"/>
        <v>0</v>
      </c>
      <c r="BA75" s="56">
        <f t="shared" si="6"/>
        <v>6104200</v>
      </c>
      <c r="BB75" s="56">
        <f t="shared" si="6"/>
        <v>8110640</v>
      </c>
      <c r="BC75" s="56"/>
      <c r="BD75" s="60"/>
      <c r="BE75" s="56">
        <f t="shared" si="6"/>
        <v>12942889</v>
      </c>
      <c r="BF75" s="55"/>
      <c r="BG75" s="56">
        <f t="shared" si="6"/>
        <v>19250000</v>
      </c>
    </row>
    <row r="77" spans="1:59" s="67" customFormat="1" x14ac:dyDescent="0.25">
      <c r="A77" s="137"/>
    </row>
    <row r="79" spans="1:59" x14ac:dyDescent="0.25">
      <c r="A79" s="130" t="s">
        <v>301</v>
      </c>
    </row>
    <row r="80" spans="1:59" x14ac:dyDescent="0.25">
      <c r="A80" s="131" t="s">
        <v>589</v>
      </c>
      <c r="B80" s="2" t="s">
        <v>1136</v>
      </c>
      <c r="C80" s="1" t="s">
        <v>1137</v>
      </c>
      <c r="D80" s="1" t="s">
        <v>1137</v>
      </c>
      <c r="E80" s="2" t="s">
        <v>1138</v>
      </c>
      <c r="F80" s="2" t="s">
        <v>1138</v>
      </c>
      <c r="G80" s="2" t="s">
        <v>1139</v>
      </c>
      <c r="H80" s="1" t="s">
        <v>1140</v>
      </c>
      <c r="I80" s="1" t="s">
        <v>1140</v>
      </c>
      <c r="J80" s="1" t="s">
        <v>1140</v>
      </c>
      <c r="K80" s="1" t="s">
        <v>1129</v>
      </c>
      <c r="L80" s="2"/>
      <c r="M80" s="2"/>
      <c r="N80" s="2"/>
      <c r="O80" s="2"/>
      <c r="P80" s="2" t="s">
        <v>509</v>
      </c>
      <c r="Q80" s="1" t="s">
        <v>510</v>
      </c>
      <c r="R80" s="1"/>
      <c r="S80" s="2" t="s">
        <v>511</v>
      </c>
      <c r="T80" s="1"/>
      <c r="U80" s="2" t="s">
        <v>0</v>
      </c>
      <c r="V80" s="2" t="s">
        <v>1141</v>
      </c>
      <c r="W80" s="2" t="s">
        <v>1142</v>
      </c>
      <c r="X80" s="2" t="s">
        <v>1143</v>
      </c>
      <c r="Y80" s="2" t="s">
        <v>1143</v>
      </c>
      <c r="Z80" s="2" t="s">
        <v>512</v>
      </c>
      <c r="AA80" s="1" t="s">
        <v>513</v>
      </c>
      <c r="AB80" s="2" t="s">
        <v>1</v>
      </c>
      <c r="AC80" s="2" t="s">
        <v>1144</v>
      </c>
      <c r="AD80" s="2" t="s">
        <v>2</v>
      </c>
      <c r="AE80" s="2" t="s">
        <v>514</v>
      </c>
      <c r="AF80" s="2" t="s">
        <v>4</v>
      </c>
      <c r="AG80" s="2" t="s">
        <v>1145</v>
      </c>
      <c r="AH80" s="2" t="s">
        <v>4</v>
      </c>
      <c r="AI80" s="2" t="s">
        <v>515</v>
      </c>
      <c r="AJ80" s="2" t="s">
        <v>311</v>
      </c>
      <c r="AK80" s="2" t="s">
        <v>515</v>
      </c>
      <c r="AL80" s="2" t="s">
        <v>516</v>
      </c>
      <c r="AM80" s="2" t="s">
        <v>1146</v>
      </c>
      <c r="AN80" s="2" t="s">
        <v>1147</v>
      </c>
      <c r="AO80" s="2" t="s">
        <v>1148</v>
      </c>
      <c r="AP80" s="2" t="s">
        <v>517</v>
      </c>
      <c r="AQ80" s="2" t="s">
        <v>191</v>
      </c>
      <c r="AR80" s="2" t="s">
        <v>191</v>
      </c>
      <c r="AS80" s="2" t="s">
        <v>1149</v>
      </c>
      <c r="AT80" s="2" t="s">
        <v>1149</v>
      </c>
      <c r="AU80" s="2" t="s">
        <v>194</v>
      </c>
      <c r="AV80" s="1" t="s">
        <v>518</v>
      </c>
      <c r="AW80" s="1" t="s">
        <v>518</v>
      </c>
      <c r="AX80" s="1"/>
      <c r="AY80" s="1" t="s">
        <v>518</v>
      </c>
      <c r="AZ80" s="1"/>
      <c r="BA80" s="1" t="s">
        <v>1150</v>
      </c>
      <c r="BB80" s="2" t="s">
        <v>1151</v>
      </c>
      <c r="BC80" s="2"/>
      <c r="BD80" s="68"/>
      <c r="BE80" s="1" t="s">
        <v>519</v>
      </c>
      <c r="BF80" s="1"/>
      <c r="BG80" s="1" t="s">
        <v>520</v>
      </c>
    </row>
    <row r="81" spans="1:59" x14ac:dyDescent="0.25">
      <c r="A81" s="131" t="s">
        <v>590</v>
      </c>
      <c r="B81" s="2" t="s">
        <v>1275</v>
      </c>
      <c r="C81" s="1" t="s">
        <v>1276</v>
      </c>
      <c r="D81" s="1" t="s">
        <v>1277</v>
      </c>
      <c r="E81" s="2" t="s">
        <v>1278</v>
      </c>
      <c r="F81" s="2" t="s">
        <v>1278</v>
      </c>
      <c r="G81" s="2" t="s">
        <v>1279</v>
      </c>
      <c r="H81" s="1" t="s">
        <v>1280</v>
      </c>
      <c r="I81" s="1" t="s">
        <v>1280</v>
      </c>
      <c r="J81" s="1" t="s">
        <v>1280</v>
      </c>
      <c r="K81" s="1" t="s">
        <v>1281</v>
      </c>
      <c r="L81" s="2"/>
      <c r="M81" s="2"/>
      <c r="N81" s="2"/>
      <c r="O81" s="2"/>
      <c r="P81" s="2" t="s">
        <v>1282</v>
      </c>
      <c r="Q81" s="1" t="s">
        <v>1283</v>
      </c>
      <c r="R81" s="1"/>
      <c r="S81" s="2" t="s">
        <v>1284</v>
      </c>
      <c r="T81" s="1"/>
      <c r="U81" s="2" t="s">
        <v>1285</v>
      </c>
      <c r="V81" s="2" t="s">
        <v>1286</v>
      </c>
      <c r="W81" s="2" t="s">
        <v>1287</v>
      </c>
      <c r="X81" s="2" t="s">
        <v>1288</v>
      </c>
      <c r="Y81" s="2" t="s">
        <v>1289</v>
      </c>
      <c r="Z81" s="2" t="s">
        <v>1290</v>
      </c>
      <c r="AA81" s="1" t="s">
        <v>1291</v>
      </c>
      <c r="AB81" s="2" t="s">
        <v>1292</v>
      </c>
      <c r="AC81" s="2" t="s">
        <v>1293</v>
      </c>
      <c r="AD81" s="2" t="s">
        <v>1294</v>
      </c>
      <c r="AE81" s="2" t="s">
        <v>1295</v>
      </c>
      <c r="AF81" s="2" t="s">
        <v>1296</v>
      </c>
      <c r="AG81" s="2" t="s">
        <v>1297</v>
      </c>
      <c r="AH81" s="2" t="s">
        <v>1296</v>
      </c>
      <c r="AI81" s="2" t="s">
        <v>1298</v>
      </c>
      <c r="AJ81" s="2" t="s">
        <v>1299</v>
      </c>
      <c r="AK81" s="2" t="s">
        <v>1300</v>
      </c>
      <c r="AL81" s="2" t="s">
        <v>1301</v>
      </c>
      <c r="AM81" s="2" t="s">
        <v>1302</v>
      </c>
      <c r="AN81" s="2" t="s">
        <v>1303</v>
      </c>
      <c r="AO81" s="2" t="s">
        <v>1304</v>
      </c>
      <c r="AP81" s="2" t="s">
        <v>1305</v>
      </c>
      <c r="AQ81" s="2" t="s">
        <v>1306</v>
      </c>
      <c r="AR81" s="2" t="s">
        <v>1307</v>
      </c>
      <c r="AS81" s="2" t="s">
        <v>1308</v>
      </c>
      <c r="AT81" s="2" t="s">
        <v>1308</v>
      </c>
      <c r="AU81" s="2" t="s">
        <v>1309</v>
      </c>
      <c r="AV81" s="1" t="s">
        <v>1310</v>
      </c>
      <c r="AW81" s="1" t="s">
        <v>1310</v>
      </c>
      <c r="AX81" s="1"/>
      <c r="AY81" s="1" t="s">
        <v>1310</v>
      </c>
      <c r="AZ81" s="1"/>
      <c r="BA81" s="1" t="s">
        <v>1364</v>
      </c>
      <c r="BB81" s="2" t="s">
        <v>1365</v>
      </c>
      <c r="BC81" s="2"/>
      <c r="BD81" s="68"/>
      <c r="BE81" s="1" t="s">
        <v>1366</v>
      </c>
      <c r="BF81" s="1"/>
      <c r="BG81" s="1" t="s">
        <v>1367</v>
      </c>
    </row>
    <row r="82" spans="1:59" x14ac:dyDescent="0.25">
      <c r="A82" s="132" t="s">
        <v>85</v>
      </c>
      <c r="B82" s="6" t="s">
        <v>321</v>
      </c>
      <c r="C82" s="6" t="s">
        <v>411</v>
      </c>
      <c r="D82" s="6" t="s">
        <v>412</v>
      </c>
      <c r="E82" s="6" t="s">
        <v>324</v>
      </c>
      <c r="F82" s="6" t="s">
        <v>325</v>
      </c>
      <c r="G82" s="6" t="s">
        <v>326</v>
      </c>
      <c r="H82" s="6" t="s">
        <v>327</v>
      </c>
      <c r="I82" s="6" t="s">
        <v>328</v>
      </c>
      <c r="J82" s="6" t="s">
        <v>329</v>
      </c>
      <c r="K82" s="6" t="s">
        <v>330</v>
      </c>
      <c r="L82" s="6" t="s">
        <v>331</v>
      </c>
      <c r="M82" s="6" t="s">
        <v>521</v>
      </c>
      <c r="N82" s="6" t="s">
        <v>333</v>
      </c>
      <c r="O82" s="6" t="s">
        <v>334</v>
      </c>
      <c r="P82" s="6" t="s">
        <v>597</v>
      </c>
      <c r="Q82" s="6" t="s">
        <v>522</v>
      </c>
      <c r="R82" s="6" t="s">
        <v>523</v>
      </c>
      <c r="S82" s="6" t="s">
        <v>524</v>
      </c>
      <c r="T82" s="6" t="s">
        <v>525</v>
      </c>
      <c r="U82" s="6">
        <v>1852</v>
      </c>
      <c r="V82" s="6">
        <v>1853</v>
      </c>
      <c r="W82" s="6">
        <v>1854</v>
      </c>
      <c r="X82" s="6">
        <v>1855</v>
      </c>
      <c r="Y82" s="6">
        <v>1856</v>
      </c>
      <c r="Z82" s="6">
        <v>1857</v>
      </c>
      <c r="AA82" s="6">
        <v>1858</v>
      </c>
      <c r="AB82" s="6">
        <v>1859</v>
      </c>
      <c r="AC82" s="6">
        <v>1860</v>
      </c>
      <c r="AD82" s="6">
        <v>1861</v>
      </c>
      <c r="AE82" s="69" t="s">
        <v>526</v>
      </c>
      <c r="AF82" s="6" t="s">
        <v>527</v>
      </c>
      <c r="AG82" s="6" t="s">
        <v>528</v>
      </c>
      <c r="AH82" s="6" t="s">
        <v>529</v>
      </c>
      <c r="AI82" s="6" t="s">
        <v>530</v>
      </c>
      <c r="AJ82" s="6" t="s">
        <v>531</v>
      </c>
      <c r="AK82" s="6" t="s">
        <v>532</v>
      </c>
      <c r="AL82" s="6" t="s">
        <v>533</v>
      </c>
      <c r="AM82" s="6" t="s">
        <v>534</v>
      </c>
      <c r="AN82" s="6" t="s">
        <v>535</v>
      </c>
      <c r="AO82" s="6" t="s">
        <v>536</v>
      </c>
      <c r="AP82" s="6" t="s">
        <v>537</v>
      </c>
      <c r="AQ82" s="6" t="s">
        <v>538</v>
      </c>
      <c r="AR82" s="6" t="s">
        <v>539</v>
      </c>
      <c r="AS82" s="6" t="s">
        <v>540</v>
      </c>
      <c r="AT82" s="6" t="s">
        <v>215</v>
      </c>
      <c r="AU82" s="6" t="s">
        <v>418</v>
      </c>
      <c r="AV82" s="6" t="s">
        <v>541</v>
      </c>
      <c r="AW82" s="6" t="s">
        <v>24</v>
      </c>
      <c r="AX82" s="6">
        <v>81</v>
      </c>
      <c r="AY82" s="6" t="s">
        <v>26</v>
      </c>
      <c r="AZ82" s="6">
        <v>83</v>
      </c>
      <c r="BA82" s="6" t="s">
        <v>28</v>
      </c>
      <c r="BB82" s="6" t="s">
        <v>29</v>
      </c>
      <c r="BC82" s="6">
        <v>86</v>
      </c>
      <c r="BD82" s="6">
        <v>87</v>
      </c>
      <c r="BE82" s="6" t="s">
        <v>32</v>
      </c>
      <c r="BF82" s="6">
        <v>89</v>
      </c>
      <c r="BG82" s="6" t="s">
        <v>217</v>
      </c>
    </row>
    <row r="83" spans="1:59" x14ac:dyDescent="0.25">
      <c r="A83" s="131" t="s">
        <v>86</v>
      </c>
      <c r="B83" s="2" t="s">
        <v>572</v>
      </c>
      <c r="C83" s="2" t="s">
        <v>573</v>
      </c>
      <c r="D83" s="1" t="s">
        <v>574</v>
      </c>
      <c r="E83" s="2" t="s">
        <v>575</v>
      </c>
      <c r="F83" s="2" t="s">
        <v>575</v>
      </c>
      <c r="G83" s="2" t="s">
        <v>576</v>
      </c>
      <c r="H83" s="1" t="s">
        <v>577</v>
      </c>
      <c r="I83" s="1" t="s">
        <v>577</v>
      </c>
      <c r="J83" s="1" t="s">
        <v>577</v>
      </c>
      <c r="K83" s="1" t="s">
        <v>578</v>
      </c>
      <c r="L83" s="2"/>
      <c r="M83" s="2"/>
      <c r="N83" s="2"/>
      <c r="O83" s="2"/>
      <c r="P83" s="2" t="s">
        <v>579</v>
      </c>
      <c r="Q83" s="1" t="s">
        <v>580</v>
      </c>
      <c r="R83" s="3" t="s">
        <v>419</v>
      </c>
      <c r="S83" s="2" t="s">
        <v>70</v>
      </c>
      <c r="T83" s="3" t="s">
        <v>419</v>
      </c>
      <c r="U83" s="2" t="s">
        <v>70</v>
      </c>
      <c r="V83" s="2" t="s">
        <v>70</v>
      </c>
      <c r="W83" s="2" t="s">
        <v>70</v>
      </c>
      <c r="X83" s="2" t="s">
        <v>70</v>
      </c>
      <c r="Y83" s="2" t="s">
        <v>70</v>
      </c>
      <c r="Z83" s="2" t="s">
        <v>70</v>
      </c>
      <c r="AA83" s="1" t="s">
        <v>70</v>
      </c>
      <c r="AB83" s="2" t="s">
        <v>70</v>
      </c>
      <c r="AC83" s="2" t="s">
        <v>70</v>
      </c>
      <c r="AD83" s="2" t="s">
        <v>70</v>
      </c>
      <c r="AE83" s="2" t="s">
        <v>70</v>
      </c>
      <c r="AF83" s="2" t="s">
        <v>70</v>
      </c>
      <c r="AG83" s="2" t="s">
        <v>70</v>
      </c>
      <c r="AH83" s="12" t="s">
        <v>71</v>
      </c>
      <c r="AI83" s="2" t="s">
        <v>70</v>
      </c>
      <c r="AJ83" s="2" t="s">
        <v>70</v>
      </c>
      <c r="AK83" s="12" t="s">
        <v>71</v>
      </c>
      <c r="AL83" s="2" t="s">
        <v>70</v>
      </c>
      <c r="AM83" s="2" t="s">
        <v>70</v>
      </c>
      <c r="AN83" s="2" t="s">
        <v>70</v>
      </c>
      <c r="AO83" s="2" t="s">
        <v>70</v>
      </c>
      <c r="AP83" s="2" t="s">
        <v>70</v>
      </c>
      <c r="AQ83" s="2" t="s">
        <v>70</v>
      </c>
      <c r="AR83" s="2" t="s">
        <v>70</v>
      </c>
      <c r="AS83" s="2" t="s">
        <v>70</v>
      </c>
      <c r="AT83" s="2" t="s">
        <v>581</v>
      </c>
      <c r="AU83" s="2" t="s">
        <v>70</v>
      </c>
      <c r="AV83" s="1" t="s">
        <v>70</v>
      </c>
      <c r="AW83" s="1" t="s">
        <v>70</v>
      </c>
      <c r="AX83" s="1"/>
      <c r="AY83" s="11" t="s">
        <v>71</v>
      </c>
      <c r="AZ83" s="1"/>
      <c r="BA83" s="11" t="s">
        <v>71</v>
      </c>
      <c r="BB83" s="12" t="s">
        <v>71</v>
      </c>
      <c r="BC83" s="2"/>
      <c r="BD83" s="68"/>
      <c r="BE83" s="1" t="s">
        <v>70</v>
      </c>
      <c r="BF83" s="1"/>
      <c r="BG83" s="11" t="s">
        <v>71</v>
      </c>
    </row>
    <row r="84" spans="1:59" x14ac:dyDescent="0.25">
      <c r="A84" s="131" t="s">
        <v>84</v>
      </c>
      <c r="B84" s="70" t="s">
        <v>70</v>
      </c>
      <c r="C84" s="70" t="s">
        <v>70</v>
      </c>
      <c r="D84" s="70" t="s">
        <v>70</v>
      </c>
      <c r="E84" s="70" t="s">
        <v>70</v>
      </c>
      <c r="F84" s="70" t="s">
        <v>70</v>
      </c>
      <c r="G84" s="70" t="s">
        <v>70</v>
      </c>
      <c r="H84" s="70" t="s">
        <v>70</v>
      </c>
      <c r="I84" s="70" t="s">
        <v>70</v>
      </c>
      <c r="J84" s="70" t="s">
        <v>70</v>
      </c>
      <c r="K84" s="70" t="s">
        <v>70</v>
      </c>
      <c r="L84" s="70"/>
      <c r="M84" s="70"/>
      <c r="N84" s="70"/>
      <c r="O84" s="70"/>
      <c r="P84" s="70" t="s">
        <v>70</v>
      </c>
      <c r="Q84" s="70" t="s">
        <v>70</v>
      </c>
      <c r="R84" s="71" t="s">
        <v>72</v>
      </c>
      <c r="S84" s="70" t="s">
        <v>542</v>
      </c>
      <c r="T84" s="71" t="s">
        <v>72</v>
      </c>
      <c r="U84" s="70" t="s">
        <v>543</v>
      </c>
      <c r="V84" s="70" t="s">
        <v>544</v>
      </c>
      <c r="W84" s="70" t="s">
        <v>545</v>
      </c>
      <c r="X84" s="70" t="s">
        <v>546</v>
      </c>
      <c r="Y84" s="70" t="s">
        <v>51</v>
      </c>
      <c r="Z84" s="70" t="s">
        <v>547</v>
      </c>
      <c r="AA84" s="70" t="s">
        <v>548</v>
      </c>
      <c r="AB84" s="70" t="s">
        <v>549</v>
      </c>
      <c r="AC84" s="70" t="s">
        <v>550</v>
      </c>
      <c r="AD84" s="70" t="s">
        <v>551</v>
      </c>
      <c r="AE84" s="70" t="s">
        <v>552</v>
      </c>
      <c r="AF84" s="70" t="s">
        <v>553</v>
      </c>
      <c r="AG84" s="70" t="s">
        <v>554</v>
      </c>
      <c r="AH84" s="70" t="s">
        <v>553</v>
      </c>
      <c r="AI84" s="70" t="s">
        <v>555</v>
      </c>
      <c r="AJ84" s="70" t="s">
        <v>556</v>
      </c>
      <c r="AK84" s="70" t="s">
        <v>555</v>
      </c>
      <c r="AL84" s="70" t="s">
        <v>557</v>
      </c>
      <c r="AM84" s="70" t="s">
        <v>558</v>
      </c>
      <c r="AN84" s="70" t="s">
        <v>559</v>
      </c>
      <c r="AO84" s="70" t="s">
        <v>560</v>
      </c>
      <c r="AP84" s="70" t="s">
        <v>561</v>
      </c>
      <c r="AQ84" s="70" t="s">
        <v>562</v>
      </c>
      <c r="AR84" s="70" t="s">
        <v>563</v>
      </c>
      <c r="AS84" s="70" t="s">
        <v>564</v>
      </c>
      <c r="AT84" s="70" t="s">
        <v>565</v>
      </c>
      <c r="AU84" s="70" t="s">
        <v>566</v>
      </c>
      <c r="AV84" s="70" t="s">
        <v>567</v>
      </c>
      <c r="AW84" s="70" t="s">
        <v>568</v>
      </c>
      <c r="AX84" s="70"/>
      <c r="AY84" s="70" t="s">
        <v>568</v>
      </c>
      <c r="AZ84" s="70"/>
      <c r="BA84" s="70" t="s">
        <v>569</v>
      </c>
      <c r="BB84" s="70" t="s">
        <v>570</v>
      </c>
      <c r="BC84" s="70"/>
      <c r="BD84" s="70"/>
      <c r="BE84" s="70" t="s">
        <v>571</v>
      </c>
      <c r="BF84" s="70"/>
      <c r="BG84" s="70" t="s">
        <v>571</v>
      </c>
    </row>
    <row r="85" spans="1:59" x14ac:dyDescent="0.25">
      <c r="A85" s="13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40"/>
      <c r="AW85" s="40"/>
      <c r="AX85" s="40"/>
      <c r="AY85" s="8"/>
      <c r="AZ85" s="40"/>
      <c r="BA85"/>
      <c r="BB85" s="7"/>
      <c r="BC85" s="7"/>
      <c r="BD85" s="72"/>
      <c r="BE85"/>
      <c r="BF85"/>
      <c r="BG85"/>
    </row>
    <row r="86" spans="1:59" x14ac:dyDescent="0.25">
      <c r="A86" s="8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c r="AW86"/>
      <c r="AX86"/>
      <c r="AY86" s="7"/>
      <c r="AZ86"/>
      <c r="BA86" s="7"/>
      <c r="BB86" s="7"/>
      <c r="BC86" s="7"/>
      <c r="BD86" s="72"/>
      <c r="BE86"/>
      <c r="BF86"/>
      <c r="BG86"/>
    </row>
    <row r="87" spans="1:59" x14ac:dyDescent="0.25">
      <c r="A87" s="139" t="s">
        <v>624</v>
      </c>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1"/>
      <c r="AW87" s="1"/>
      <c r="AX87" s="1"/>
      <c r="AY87" s="2"/>
      <c r="AZ87" s="1"/>
      <c r="BA87" s="7"/>
      <c r="BB87" s="7"/>
      <c r="BC87" s="7"/>
      <c r="BD87" s="72"/>
      <c r="BE87"/>
      <c r="BF87"/>
      <c r="BG87" s="7"/>
    </row>
    <row r="88" spans="1:59" x14ac:dyDescent="0.25">
      <c r="A88" s="87" t="s">
        <v>626</v>
      </c>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c r="AY88" s="7"/>
      <c r="AZ88"/>
      <c r="BA88" s="7">
        <v>100000</v>
      </c>
      <c r="BB88" s="7">
        <v>100000</v>
      </c>
      <c r="BC88" s="7"/>
      <c r="BD88" s="72"/>
      <c r="BE88" s="7"/>
      <c r="BF88"/>
      <c r="BG88" s="7"/>
    </row>
    <row r="89" spans="1:59" x14ac:dyDescent="0.25">
      <c r="A89" s="87" t="s">
        <v>130</v>
      </c>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c r="AY89" s="7"/>
      <c r="AZ89"/>
      <c r="BA89" s="7"/>
      <c r="BB89" s="7"/>
      <c r="BC89" s="7"/>
      <c r="BD89" s="72"/>
      <c r="BE89" s="7">
        <v>300000</v>
      </c>
      <c r="BF89"/>
      <c r="BG89" s="7">
        <v>300000</v>
      </c>
    </row>
    <row r="90" spans="1:59" x14ac:dyDescent="0.25">
      <c r="A90" s="87" t="s">
        <v>628</v>
      </c>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v>125000</v>
      </c>
      <c r="AW90" s="7">
        <v>125000</v>
      </c>
      <c r="AX90"/>
      <c r="AY90" s="7">
        <v>500000</v>
      </c>
      <c r="AZ90"/>
      <c r="BA90" s="7">
        <v>500000</v>
      </c>
      <c r="BB90" s="7">
        <v>375000</v>
      </c>
      <c r="BC90" s="7"/>
      <c r="BD90" s="72"/>
      <c r="BE90" s="7"/>
      <c r="BF90"/>
      <c r="BG90" s="7"/>
    </row>
    <row r="91" spans="1:59" x14ac:dyDescent="0.25">
      <c r="A91" s="87" t="s">
        <v>632</v>
      </c>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v>57330</v>
      </c>
      <c r="AS91" s="7">
        <v>40000</v>
      </c>
      <c r="AT91" s="7"/>
      <c r="AU91" s="7">
        <v>128774</v>
      </c>
      <c r="AV91" s="7">
        <v>109580</v>
      </c>
      <c r="AW91" s="7">
        <v>99260</v>
      </c>
      <c r="AX91"/>
      <c r="AY91" s="7">
        <v>120000</v>
      </c>
      <c r="AZ91"/>
      <c r="BA91" s="7"/>
      <c r="BB91" s="7"/>
      <c r="BC91" s="7"/>
      <c r="BD91" s="72"/>
      <c r="BE91" s="7"/>
      <c r="BF91"/>
      <c r="BG91" s="7">
        <v>160000</v>
      </c>
    </row>
    <row r="92" spans="1:59" ht="30" x14ac:dyDescent="0.25">
      <c r="A92" s="87" t="s">
        <v>634</v>
      </c>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c r="AY92" s="7"/>
      <c r="AZ92"/>
      <c r="BA92" s="7"/>
      <c r="BB92" s="7"/>
      <c r="BC92" s="7"/>
      <c r="BD92" s="72"/>
      <c r="BE92" s="7">
        <v>1377610</v>
      </c>
      <c r="BF92"/>
      <c r="BG92" s="7"/>
    </row>
    <row r="93" spans="1:59" x14ac:dyDescent="0.25">
      <c r="A93" s="87" t="s">
        <v>631</v>
      </c>
      <c r="B93" s="7"/>
      <c r="C93" s="7"/>
      <c r="D93" s="7"/>
      <c r="E93" s="7"/>
      <c r="F93" s="7"/>
      <c r="G93" s="7"/>
      <c r="H93" s="7"/>
      <c r="I93" s="7"/>
      <c r="J93" s="7"/>
      <c r="K93" s="7"/>
      <c r="L93" s="7"/>
      <c r="M93" s="7"/>
      <c r="N93" s="7"/>
      <c r="O93" s="7"/>
      <c r="P93" s="7"/>
      <c r="Q93" s="7"/>
      <c r="R93" s="7"/>
      <c r="S93" s="7"/>
      <c r="T93" s="7"/>
      <c r="U93" s="7"/>
      <c r="V93" s="7"/>
      <c r="W93" s="7"/>
      <c r="X93" s="7"/>
      <c r="Y93" s="7"/>
      <c r="Z93" s="7"/>
      <c r="AA93" s="7"/>
      <c r="AB93" s="7">
        <v>902</v>
      </c>
      <c r="AC93" s="7"/>
      <c r="AD93" s="7"/>
      <c r="AE93" s="7"/>
      <c r="AF93" s="7"/>
      <c r="AG93" s="7"/>
      <c r="AH93" s="7"/>
      <c r="AI93" s="7"/>
      <c r="AJ93" s="7"/>
      <c r="AK93" s="7"/>
      <c r="AL93" s="7"/>
      <c r="AM93" s="7"/>
      <c r="AN93" s="7"/>
      <c r="AO93" s="7"/>
      <c r="AP93" s="7"/>
      <c r="AQ93" s="7"/>
      <c r="AR93" s="7"/>
      <c r="AS93" s="7"/>
      <c r="AT93" s="7"/>
      <c r="AU93" s="7"/>
      <c r="AV93" s="7"/>
      <c r="AW93" s="7"/>
      <c r="AX93"/>
      <c r="AY93" s="7"/>
      <c r="AZ93"/>
      <c r="BA93" s="7"/>
      <c r="BB93" s="7"/>
      <c r="BC93" s="7"/>
      <c r="BD93" s="72"/>
      <c r="BE93" s="7"/>
      <c r="BF93"/>
      <c r="BG93" s="7"/>
    </row>
    <row r="94" spans="1:59" x14ac:dyDescent="0.25">
      <c r="A94" s="87" t="s">
        <v>591</v>
      </c>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c r="AY94" s="7"/>
      <c r="AZ94"/>
      <c r="BA94" s="7"/>
      <c r="BB94" s="7"/>
      <c r="BC94" s="7"/>
      <c r="BD94" s="72"/>
      <c r="BE94" s="7">
        <v>150000</v>
      </c>
      <c r="BF94"/>
      <c r="BG94" s="7">
        <v>180000</v>
      </c>
    </row>
    <row r="95" spans="1:59" x14ac:dyDescent="0.25">
      <c r="A95" s="87" t="s">
        <v>627</v>
      </c>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v>90000</v>
      </c>
      <c r="AS95" s="7">
        <v>60000</v>
      </c>
      <c r="AT95" s="7"/>
      <c r="AU95" s="7">
        <v>32500</v>
      </c>
      <c r="AV95" s="7"/>
      <c r="AW95" s="7">
        <v>65500</v>
      </c>
      <c r="AX95"/>
      <c r="AY95" s="7">
        <v>120000</v>
      </c>
      <c r="AZ95"/>
      <c r="BA95" s="7">
        <v>200000</v>
      </c>
      <c r="BB95" s="7">
        <v>200000</v>
      </c>
      <c r="BC95" s="7"/>
      <c r="BD95" s="72"/>
      <c r="BE95" s="7"/>
      <c r="BF95"/>
      <c r="BG95" s="7"/>
    </row>
    <row r="96" spans="1:59" x14ac:dyDescent="0.25">
      <c r="A96" s="75" t="s">
        <v>305</v>
      </c>
      <c r="B96" s="7"/>
      <c r="C96" s="7"/>
      <c r="D96" s="7"/>
      <c r="E96" s="7"/>
      <c r="F96" s="7"/>
      <c r="G96" s="7"/>
      <c r="H96" s="7"/>
      <c r="I96" s="7"/>
      <c r="J96" s="7"/>
      <c r="K96" s="7"/>
      <c r="L96" s="7"/>
      <c r="M96" s="7"/>
      <c r="N96" s="7"/>
      <c r="O96" s="7"/>
      <c r="P96" s="7"/>
      <c r="Q96" s="7"/>
      <c r="R96" s="7"/>
      <c r="S96" s="7">
        <v>20000</v>
      </c>
      <c r="T96" s="7"/>
      <c r="U96" s="7">
        <v>20000</v>
      </c>
      <c r="V96" s="7">
        <v>20000</v>
      </c>
      <c r="W96" s="7">
        <v>20000</v>
      </c>
      <c r="X96" s="7">
        <v>50000</v>
      </c>
      <c r="Y96" s="7">
        <v>50000</v>
      </c>
      <c r="Z96" s="7">
        <v>50000</v>
      </c>
      <c r="AA96" s="7">
        <v>50000</v>
      </c>
      <c r="AB96" s="7">
        <v>100000</v>
      </c>
      <c r="AC96" s="7">
        <v>50000</v>
      </c>
      <c r="AD96" s="7">
        <v>100000</v>
      </c>
      <c r="AE96" s="7">
        <v>50000</v>
      </c>
      <c r="AF96" s="7">
        <v>100000</v>
      </c>
      <c r="AG96" s="7">
        <v>100000</v>
      </c>
      <c r="AH96" s="7">
        <v>100000</v>
      </c>
      <c r="AI96" s="7">
        <v>100000</v>
      </c>
      <c r="AJ96" s="7">
        <v>100000</v>
      </c>
      <c r="AK96" s="7">
        <v>100000</v>
      </c>
      <c r="AL96" s="7">
        <v>100000</v>
      </c>
      <c r="AM96" s="7">
        <v>100000</v>
      </c>
      <c r="AN96" s="7">
        <v>100000</v>
      </c>
      <c r="AO96" s="7">
        <v>75000</v>
      </c>
      <c r="AP96" s="7">
        <v>100000</v>
      </c>
      <c r="AQ96" s="7">
        <v>150000</v>
      </c>
      <c r="AR96" s="7">
        <v>200000</v>
      </c>
      <c r="AS96" s="7">
        <v>200000</v>
      </c>
      <c r="AT96" s="7"/>
      <c r="AU96" s="7">
        <v>150000</v>
      </c>
      <c r="AV96" s="7">
        <f>150000+178498</f>
        <v>328498</v>
      </c>
      <c r="AW96" s="7">
        <f>350000+50000</f>
        <v>400000</v>
      </c>
      <c r="AX96"/>
      <c r="AY96" s="7">
        <v>400000</v>
      </c>
      <c r="AZ96"/>
      <c r="BA96" s="7">
        <v>300000</v>
      </c>
      <c r="BB96" s="7">
        <v>300000</v>
      </c>
      <c r="BC96" s="7"/>
      <c r="BD96" s="72"/>
      <c r="BE96" s="7">
        <v>450000</v>
      </c>
      <c r="BF96"/>
      <c r="BG96" s="7">
        <f>500000+50000</f>
        <v>550000</v>
      </c>
    </row>
    <row r="97" spans="1:59" x14ac:dyDescent="0.25">
      <c r="A97" s="87" t="s">
        <v>592</v>
      </c>
      <c r="B97" s="7">
        <v>13300</v>
      </c>
      <c r="C97" s="7"/>
      <c r="D97" s="7">
        <v>25000</v>
      </c>
      <c r="E97" s="7">
        <v>25000</v>
      </c>
      <c r="F97" s="7">
        <v>25000</v>
      </c>
      <c r="G97" s="7">
        <v>17462</v>
      </c>
      <c r="H97" s="7">
        <v>18750</v>
      </c>
      <c r="I97" s="7">
        <v>25000</v>
      </c>
      <c r="J97" s="7">
        <v>31250</v>
      </c>
      <c r="K97" s="7">
        <v>25000</v>
      </c>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c r="AY97" s="7"/>
      <c r="AZ97"/>
      <c r="BA97" s="7"/>
      <c r="BB97" s="7"/>
      <c r="BC97" s="7"/>
      <c r="BD97" s="72"/>
      <c r="BE97" s="7"/>
      <c r="BF97"/>
      <c r="BG97" s="7"/>
    </row>
    <row r="98" spans="1:59" ht="30" x14ac:dyDescent="0.25">
      <c r="A98" s="87" t="s">
        <v>636</v>
      </c>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c r="AY98" s="7"/>
      <c r="AZ98"/>
      <c r="BA98" s="7">
        <v>928987</v>
      </c>
      <c r="BB98" s="7">
        <v>981920</v>
      </c>
      <c r="BC98" s="7"/>
      <c r="BD98" s="72"/>
      <c r="BE98" s="7"/>
      <c r="BF98"/>
      <c r="BG98" s="7"/>
    </row>
    <row r="99" spans="1:59" x14ac:dyDescent="0.25">
      <c r="A99" s="75" t="s">
        <v>466</v>
      </c>
      <c r="B99" s="7">
        <v>25000</v>
      </c>
      <c r="C99" s="7">
        <v>25000</v>
      </c>
      <c r="D99" s="7">
        <v>12500</v>
      </c>
      <c r="E99" s="7">
        <v>40000</v>
      </c>
      <c r="F99" s="7">
        <v>40000</v>
      </c>
      <c r="G99" s="7">
        <v>26675</v>
      </c>
      <c r="H99" s="7">
        <v>25000</v>
      </c>
      <c r="I99" s="7">
        <v>6250</v>
      </c>
      <c r="J99" s="7">
        <v>37500</v>
      </c>
      <c r="K99" s="7">
        <v>25000</v>
      </c>
      <c r="L99" s="7"/>
      <c r="M99" s="7"/>
      <c r="N99" s="7"/>
      <c r="O99" s="7"/>
      <c r="P99" s="7">
        <v>16000</v>
      </c>
      <c r="Q99" s="7">
        <v>16000</v>
      </c>
      <c r="R99" s="7">
        <f>(Q99/15)*12</f>
        <v>12800</v>
      </c>
      <c r="S99" s="7">
        <v>25000</v>
      </c>
      <c r="T99" s="7"/>
      <c r="U99" s="7">
        <v>16000</v>
      </c>
      <c r="V99" s="7">
        <v>16000</v>
      </c>
      <c r="W99" s="7">
        <v>16000</v>
      </c>
      <c r="X99" s="7">
        <v>16000</v>
      </c>
      <c r="Y99" s="7">
        <v>16000</v>
      </c>
      <c r="Z99" s="7">
        <v>16000</v>
      </c>
      <c r="AA99" s="7">
        <v>50000</v>
      </c>
      <c r="AB99" s="7">
        <v>50000</v>
      </c>
      <c r="AC99" s="7">
        <v>50000</v>
      </c>
      <c r="AD99" s="7">
        <v>50000</v>
      </c>
      <c r="AE99" s="7">
        <v>25000</v>
      </c>
      <c r="AF99" s="7">
        <v>50000</v>
      </c>
      <c r="AG99" s="7">
        <v>50000</v>
      </c>
      <c r="AH99" s="7">
        <v>50000</v>
      </c>
      <c r="AI99" s="7">
        <v>75000</v>
      </c>
      <c r="AJ99" s="7">
        <v>75000</v>
      </c>
      <c r="AK99" s="7">
        <v>75000</v>
      </c>
      <c r="AL99" s="7">
        <v>75000</v>
      </c>
      <c r="AM99" s="7">
        <v>75000</v>
      </c>
      <c r="AN99" s="7">
        <v>75000</v>
      </c>
      <c r="AO99" s="7">
        <v>0</v>
      </c>
      <c r="AP99" s="7">
        <v>75000</v>
      </c>
      <c r="AQ99" s="7">
        <v>100000</v>
      </c>
      <c r="AR99" s="7">
        <v>130000</v>
      </c>
      <c r="AS99" s="7">
        <v>130000</v>
      </c>
      <c r="AT99" s="7"/>
      <c r="AU99" s="7">
        <v>100000</v>
      </c>
      <c r="AV99" s="7">
        <f>75000+25000</f>
        <v>100000</v>
      </c>
      <c r="AW99" s="7">
        <v>137500</v>
      </c>
      <c r="AX99"/>
      <c r="AY99" s="7">
        <v>150000</v>
      </c>
      <c r="AZ99"/>
      <c r="BA99" s="7">
        <v>250000</v>
      </c>
      <c r="BB99" s="7">
        <v>250000</v>
      </c>
      <c r="BC99" s="7"/>
      <c r="BD99" s="72"/>
      <c r="BE99" s="7">
        <v>250000</v>
      </c>
      <c r="BF99"/>
      <c r="BG99" s="7">
        <v>360000</v>
      </c>
    </row>
    <row r="100" spans="1:59" ht="15" customHeight="1" x14ac:dyDescent="0.25">
      <c r="A100" s="87" t="s">
        <v>630</v>
      </c>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f>48087+73918</f>
        <v>122005</v>
      </c>
      <c r="AC100" s="7"/>
      <c r="AD100" s="7"/>
      <c r="AE100" s="7"/>
      <c r="AF100" s="7"/>
      <c r="AG100" s="7"/>
      <c r="AH100" s="7"/>
      <c r="AI100" s="7"/>
      <c r="AJ100" s="7"/>
      <c r="AK100" s="7"/>
      <c r="AL100" s="7">
        <f>93062+21975+387835+195000</f>
        <v>697872</v>
      </c>
      <c r="AM100" s="7"/>
      <c r="AN100" s="7"/>
      <c r="AO100" s="7"/>
      <c r="AP100" s="7"/>
      <c r="AQ100" s="7"/>
      <c r="AR100" s="7"/>
      <c r="AS100" s="7"/>
      <c r="AT100" s="7"/>
      <c r="AU100" s="7"/>
      <c r="AV100" s="7"/>
      <c r="AW100" s="7"/>
      <c r="AX100"/>
      <c r="AY100" s="7"/>
      <c r="AZ100"/>
      <c r="BA100" s="7"/>
      <c r="BB100" s="7"/>
      <c r="BC100" s="7"/>
      <c r="BD100" s="72"/>
      <c r="BE100" s="7"/>
      <c r="BF100"/>
      <c r="BG100" s="7"/>
    </row>
    <row r="101" spans="1:59" x14ac:dyDescent="0.25">
      <c r="A101" s="75" t="s">
        <v>629</v>
      </c>
      <c r="B101" s="7">
        <v>31944</v>
      </c>
      <c r="C101" s="7"/>
      <c r="D101" s="7">
        <f>77696+18000</f>
        <v>95696</v>
      </c>
      <c r="E101" s="7"/>
      <c r="F101" s="7"/>
      <c r="G101" s="7"/>
      <c r="H101" s="7">
        <v>4910</v>
      </c>
      <c r="I101" s="7">
        <v>14946</v>
      </c>
      <c r="J101" s="7">
        <v>33540</v>
      </c>
      <c r="K101" s="7"/>
      <c r="L101" s="7"/>
      <c r="M101" s="7"/>
      <c r="N101" s="7"/>
      <c r="O101" s="7"/>
      <c r="P101" s="7">
        <v>26633</v>
      </c>
      <c r="Q101" s="7">
        <f>36888+52045</f>
        <v>88933</v>
      </c>
      <c r="R101" s="7">
        <f>(Q101/15)*12</f>
        <v>71146.399999999994</v>
      </c>
      <c r="S101" s="7">
        <v>57782</v>
      </c>
      <c r="T101" s="7"/>
      <c r="U101" s="7">
        <v>50273</v>
      </c>
      <c r="V101" s="7">
        <v>51390</v>
      </c>
      <c r="W101" s="7">
        <v>71620</v>
      </c>
      <c r="X101" s="7">
        <v>63097</v>
      </c>
      <c r="Y101" s="7">
        <v>87245</v>
      </c>
      <c r="Z101" s="7">
        <v>83829</v>
      </c>
      <c r="AA101" s="7">
        <v>86759</v>
      </c>
      <c r="AB101" s="7">
        <v>123472</v>
      </c>
      <c r="AC101" s="7">
        <v>102749</v>
      </c>
      <c r="AD101" s="7">
        <v>125540</v>
      </c>
      <c r="AE101" s="7">
        <v>43674</v>
      </c>
      <c r="AF101" s="7">
        <v>58932</v>
      </c>
      <c r="AG101" s="7">
        <v>57558</v>
      </c>
      <c r="AH101" s="7">
        <v>122217</v>
      </c>
      <c r="AI101" s="7">
        <v>151653</v>
      </c>
      <c r="AJ101" s="7">
        <v>157024</v>
      </c>
      <c r="AK101" s="7">
        <v>227361</v>
      </c>
      <c r="AL101" s="7">
        <f>163356</f>
        <v>163356</v>
      </c>
      <c r="AM101" s="7">
        <v>168988</v>
      </c>
      <c r="AN101" s="7">
        <v>206495</v>
      </c>
      <c r="AO101" s="7">
        <v>353355</v>
      </c>
      <c r="AP101" s="7">
        <v>206229</v>
      </c>
      <c r="AQ101" s="7">
        <v>339054</v>
      </c>
      <c r="AR101" s="7">
        <v>201516</v>
      </c>
      <c r="AS101" s="7">
        <v>323413</v>
      </c>
      <c r="AT101" s="7"/>
      <c r="AU101" s="7">
        <v>393115</v>
      </c>
      <c r="AV101" s="7">
        <v>536249</v>
      </c>
      <c r="AW101" s="7">
        <v>506291</v>
      </c>
      <c r="AX101"/>
      <c r="AY101" s="7">
        <v>780000</v>
      </c>
      <c r="AZ101"/>
      <c r="BA101" s="7"/>
      <c r="BB101" s="7"/>
      <c r="BC101" s="7"/>
      <c r="BD101" s="72"/>
      <c r="BE101" s="7"/>
      <c r="BF101"/>
      <c r="BG101" s="7">
        <v>1956000</v>
      </c>
    </row>
    <row r="102" spans="1:59" x14ac:dyDescent="0.25">
      <c r="A102" s="87" t="s">
        <v>635</v>
      </c>
      <c r="B102" s="7"/>
      <c r="C102" s="7">
        <v>174000</v>
      </c>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c r="AY102" s="7"/>
      <c r="AZ102"/>
      <c r="BA102" s="7"/>
      <c r="BB102" s="7"/>
      <c r="BC102" s="7"/>
      <c r="BD102" s="72"/>
      <c r="BE102" s="7"/>
      <c r="BF102"/>
      <c r="BG102" s="7"/>
    </row>
    <row r="103" spans="1:59" x14ac:dyDescent="0.25">
      <c r="A103" s="75" t="s">
        <v>625</v>
      </c>
      <c r="B103" s="7">
        <v>128000</v>
      </c>
      <c r="C103" s="7">
        <v>128000</v>
      </c>
      <c r="D103" s="7">
        <v>217600</v>
      </c>
      <c r="E103" s="7">
        <v>153600</v>
      </c>
      <c r="F103" s="7">
        <v>226386</v>
      </c>
      <c r="G103" s="7">
        <v>117690</v>
      </c>
      <c r="H103" s="7">
        <v>110000</v>
      </c>
      <c r="I103" s="7">
        <v>112500</v>
      </c>
      <c r="J103" s="7">
        <v>78220</v>
      </c>
      <c r="K103" s="7">
        <v>50000</v>
      </c>
      <c r="L103" s="7"/>
      <c r="M103" s="7"/>
      <c r="N103" s="7"/>
      <c r="O103" s="7"/>
      <c r="P103" s="7">
        <v>33320</v>
      </c>
      <c r="Q103" s="7">
        <v>100000</v>
      </c>
      <c r="R103" s="7">
        <f>(Q103/15)*12</f>
        <v>80000</v>
      </c>
      <c r="S103" s="7">
        <v>250000</v>
      </c>
      <c r="T103" s="7"/>
      <c r="U103" s="7">
        <v>200000</v>
      </c>
      <c r="V103" s="7">
        <v>200000</v>
      </c>
      <c r="W103" s="7">
        <v>200000</v>
      </c>
      <c r="X103" s="7">
        <v>200000</v>
      </c>
      <c r="Y103" s="7">
        <v>200000</v>
      </c>
      <c r="Z103" s="7">
        <v>200000</v>
      </c>
      <c r="AA103" s="7">
        <v>200000</v>
      </c>
      <c r="AB103" s="7">
        <v>200000</v>
      </c>
      <c r="AC103" s="7">
        <v>200000</v>
      </c>
      <c r="AD103" s="7">
        <v>200000</v>
      </c>
      <c r="AE103" s="7">
        <v>100000</v>
      </c>
      <c r="AF103" s="7">
        <v>200000</v>
      </c>
      <c r="AG103" s="7">
        <v>200000</v>
      </c>
      <c r="AH103" s="7">
        <v>200000</v>
      </c>
      <c r="AI103" s="7">
        <v>200000</v>
      </c>
      <c r="AJ103" s="7">
        <v>200000</v>
      </c>
      <c r="AK103" s="7">
        <v>200000</v>
      </c>
      <c r="AL103" s="7">
        <v>200000</v>
      </c>
      <c r="AM103" s="7">
        <v>200000</v>
      </c>
      <c r="AN103" s="7">
        <v>200000</v>
      </c>
      <c r="AO103" s="7">
        <v>58870</v>
      </c>
      <c r="AP103" s="7">
        <v>200000</v>
      </c>
      <c r="AQ103" s="7">
        <v>200000</v>
      </c>
      <c r="AR103" s="7">
        <v>300000</v>
      </c>
      <c r="AS103" s="7">
        <v>300000</v>
      </c>
      <c r="AT103" s="7"/>
      <c r="AU103" s="7">
        <v>341240</v>
      </c>
      <c r="AV103" s="7">
        <f>262500+25000</f>
        <v>287500</v>
      </c>
      <c r="AW103" s="7">
        <f>262500+37500</f>
        <v>300000</v>
      </c>
      <c r="AX103"/>
      <c r="AY103" s="7">
        <v>400000</v>
      </c>
      <c r="AZ103"/>
      <c r="BA103" s="7">
        <v>400000</v>
      </c>
      <c r="BB103" s="7">
        <v>400000</v>
      </c>
      <c r="BC103" s="7"/>
      <c r="BD103" s="72"/>
      <c r="BE103" s="7">
        <v>600000</v>
      </c>
      <c r="BF103"/>
      <c r="BG103" s="7">
        <v>720000</v>
      </c>
    </row>
    <row r="104" spans="1:59" x14ac:dyDescent="0.25">
      <c r="A104" s="87" t="s">
        <v>388</v>
      </c>
      <c r="B104" s="7"/>
      <c r="C104" s="7"/>
      <c r="D104" s="7"/>
      <c r="E104" s="7"/>
      <c r="F104" s="7">
        <v>25600</v>
      </c>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c r="AY104" s="7"/>
      <c r="AZ104"/>
      <c r="BA104" s="7"/>
      <c r="BB104" s="7"/>
      <c r="BC104" s="7"/>
      <c r="BD104" s="72"/>
      <c r="BE104" s="7"/>
      <c r="BF104"/>
      <c r="BG104" s="7"/>
    </row>
    <row r="105" spans="1:59" x14ac:dyDescent="0.25">
      <c r="A105" s="75" t="s">
        <v>633</v>
      </c>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c r="AY105" s="7"/>
      <c r="AZ105"/>
      <c r="BA105" s="7"/>
      <c r="BB105" s="7"/>
      <c r="BC105" s="7"/>
      <c r="BD105" s="72"/>
      <c r="BE105" s="7">
        <v>240000</v>
      </c>
      <c r="BF105"/>
      <c r="BG105" s="7">
        <v>240000</v>
      </c>
    </row>
    <row r="106" spans="1:59" x14ac:dyDescent="0.25">
      <c r="A106" s="8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c r="AY106" s="7"/>
      <c r="AZ106"/>
      <c r="BA106" s="7"/>
      <c r="BB106" s="7"/>
      <c r="BC106" s="7"/>
      <c r="BD106" s="72"/>
      <c r="BE106" s="7"/>
      <c r="BF106"/>
      <c r="BG106" s="7"/>
    </row>
    <row r="107" spans="1:59" x14ac:dyDescent="0.25">
      <c r="A107" s="133" t="s">
        <v>303</v>
      </c>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c r="AY107" s="7"/>
      <c r="AZ107"/>
      <c r="BA107" s="7"/>
      <c r="BB107" s="7"/>
      <c r="BC107" s="7"/>
      <c r="BD107" s="72"/>
      <c r="BE107" s="7"/>
      <c r="BF107"/>
      <c r="BG107" s="7"/>
    </row>
    <row r="108" spans="1:59" x14ac:dyDescent="0.25">
      <c r="A108" s="87" t="s">
        <v>637</v>
      </c>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c r="AY108" s="7"/>
      <c r="AZ108"/>
      <c r="BA108" s="7"/>
      <c r="BB108" s="7">
        <v>917500</v>
      </c>
      <c r="BC108" s="7"/>
      <c r="BD108" s="72"/>
      <c r="BE108" s="7"/>
      <c r="BF108"/>
      <c r="BG108" s="7"/>
    </row>
    <row r="109" spans="1:59" ht="30" x14ac:dyDescent="0.25">
      <c r="A109" s="87" t="s">
        <v>1058</v>
      </c>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c r="AY109" s="7"/>
      <c r="AZ109"/>
      <c r="BA109" s="7">
        <v>298280</v>
      </c>
      <c r="BB109" s="7"/>
      <c r="BC109" s="7"/>
      <c r="BD109" s="72"/>
      <c r="BE109" s="7"/>
      <c r="BF109"/>
      <c r="BG109" s="7"/>
    </row>
    <row r="110" spans="1:59" ht="30" x14ac:dyDescent="0.25">
      <c r="A110" s="87" t="s">
        <v>638</v>
      </c>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c r="AY110" s="7"/>
      <c r="AZ110"/>
      <c r="BA110" s="7">
        <f>989450+536824</f>
        <v>1526274</v>
      </c>
      <c r="BB110" s="7">
        <v>1134820</v>
      </c>
      <c r="BC110" s="7"/>
      <c r="BD110" s="72"/>
      <c r="BE110" s="7"/>
      <c r="BF110"/>
      <c r="BG110" s="7"/>
    </row>
    <row r="111" spans="1:59" x14ac:dyDescent="0.25">
      <c r="A111" s="43" t="s">
        <v>870</v>
      </c>
      <c r="B111" s="7"/>
      <c r="C111" s="7"/>
      <c r="D111" s="7">
        <v>4320</v>
      </c>
      <c r="E111" s="7"/>
      <c r="F111" s="7"/>
      <c r="G111" s="7"/>
      <c r="H111" s="7"/>
      <c r="I111" s="7">
        <v>8000</v>
      </c>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c r="AY111" s="7"/>
      <c r="AZ111"/>
      <c r="BA111" s="7"/>
      <c r="BB111" s="7">
        <v>100000</v>
      </c>
      <c r="BC111" s="7"/>
      <c r="BD111" s="72"/>
      <c r="BE111" s="7"/>
      <c r="BF111"/>
      <c r="BG111" s="7"/>
    </row>
    <row r="112" spans="1:59" ht="15" customHeight="1" x14ac:dyDescent="0.25">
      <c r="A112" s="87" t="s">
        <v>640</v>
      </c>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c r="AY112" s="7"/>
      <c r="AZ112"/>
      <c r="BA112" s="7"/>
      <c r="BB112" s="7"/>
      <c r="BC112" s="7"/>
      <c r="BD112" s="72"/>
      <c r="BE112" s="7">
        <v>926563</v>
      </c>
      <c r="BF112"/>
      <c r="BG112" s="7">
        <v>1200000</v>
      </c>
    </row>
    <row r="113" spans="1:59" ht="30" x14ac:dyDescent="0.25">
      <c r="A113" s="87" t="s">
        <v>639</v>
      </c>
      <c r="B113" s="7"/>
      <c r="C113" s="7">
        <v>72500</v>
      </c>
      <c r="D113" s="7"/>
      <c r="E113" s="7">
        <v>14720</v>
      </c>
      <c r="F113" s="7"/>
      <c r="G113" s="7"/>
      <c r="H113" s="7">
        <v>155720</v>
      </c>
      <c r="I113" s="7">
        <v>43340</v>
      </c>
      <c r="J113" s="7">
        <v>56500</v>
      </c>
      <c r="K113" s="7"/>
      <c r="L113" s="7"/>
      <c r="M113" s="7"/>
      <c r="N113" s="7"/>
      <c r="O113" s="7"/>
      <c r="P113" s="7">
        <f>10000+15800</f>
        <v>25800</v>
      </c>
      <c r="Q113" s="7">
        <f>655720+22480</f>
        <v>678200</v>
      </c>
      <c r="R113" s="7">
        <f>(Q113/15)*12</f>
        <v>542560</v>
      </c>
      <c r="S113" s="7">
        <v>63913</v>
      </c>
      <c r="T113" s="7"/>
      <c r="U113" s="7">
        <v>58200</v>
      </c>
      <c r="V113" s="7">
        <v>58200</v>
      </c>
      <c r="W113" s="7">
        <v>58200</v>
      </c>
      <c r="X113" s="7">
        <v>397406</v>
      </c>
      <c r="Y113" s="7">
        <v>276759</v>
      </c>
      <c r="Z113" s="7">
        <v>120198</v>
      </c>
      <c r="AA113" s="7">
        <v>270621</v>
      </c>
      <c r="AB113" s="7">
        <f>352638+100000+211390</f>
        <v>664028</v>
      </c>
      <c r="AC113" s="7">
        <v>407120</v>
      </c>
      <c r="AD113" s="7">
        <v>614665</v>
      </c>
      <c r="AE113" s="7">
        <v>129257</v>
      </c>
      <c r="AF113" s="7">
        <v>351385</v>
      </c>
      <c r="AG113" s="7">
        <v>81941</v>
      </c>
      <c r="AH113" s="7">
        <v>693163</v>
      </c>
      <c r="AI113" s="7">
        <v>468893</v>
      </c>
      <c r="AJ113" s="7">
        <v>51000</v>
      </c>
      <c r="AK113" s="7">
        <v>672319</v>
      </c>
      <c r="AL113" s="7"/>
      <c r="AM113" s="7"/>
      <c r="AN113" s="7">
        <v>650450</v>
      </c>
      <c r="AO113" s="7">
        <v>1170280</v>
      </c>
      <c r="AP113" s="7">
        <v>1230625</v>
      </c>
      <c r="AQ113" s="7">
        <f>98000+380000</f>
        <v>478000</v>
      </c>
      <c r="AR113" s="7">
        <f>40000+219772</f>
        <v>259772</v>
      </c>
      <c r="AS113" s="7">
        <f>79000+1876966</f>
        <v>1955966</v>
      </c>
      <c r="AT113" s="7"/>
      <c r="AU113" s="7">
        <v>1574480</v>
      </c>
      <c r="AV113" s="7">
        <v>2587000</v>
      </c>
      <c r="AW113" s="7">
        <v>606000</v>
      </c>
      <c r="AX113"/>
      <c r="AY113" s="7">
        <v>1900000</v>
      </c>
      <c r="AZ113"/>
      <c r="BA113" s="7"/>
      <c r="BB113" s="7"/>
      <c r="BC113" s="7"/>
      <c r="BD113" s="72"/>
      <c r="BE113" s="7">
        <v>6914948</v>
      </c>
      <c r="BF113"/>
      <c r="BG113" s="7">
        <v>7639540</v>
      </c>
    </row>
    <row r="114" spans="1:59" ht="15" customHeight="1" x14ac:dyDescent="0.25">
      <c r="A114" s="87" t="s">
        <v>1059</v>
      </c>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c r="AY114" s="7"/>
      <c r="AZ114"/>
      <c r="BA114" s="7"/>
      <c r="BB114" s="7"/>
      <c r="BC114" s="7"/>
      <c r="BD114" s="72"/>
      <c r="BE114" s="7"/>
      <c r="BF114"/>
      <c r="BG114" s="7"/>
    </row>
    <row r="115" spans="1:59" ht="15" customHeight="1" x14ac:dyDescent="0.25">
      <c r="A115" s="87" t="s">
        <v>641</v>
      </c>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v>3000000</v>
      </c>
      <c r="AR115" s="7"/>
      <c r="AS115" s="7"/>
      <c r="AT115" s="7"/>
      <c r="AU115" s="7"/>
      <c r="AV115" s="7"/>
      <c r="AW115" s="7"/>
      <c r="AX115"/>
      <c r="AY115" s="7"/>
      <c r="AZ115"/>
      <c r="BA115" s="7"/>
      <c r="BB115" s="7"/>
      <c r="BC115" s="7"/>
      <c r="BD115" s="72"/>
      <c r="BE115" s="7"/>
      <c r="BF115"/>
      <c r="BG115" s="7"/>
    </row>
    <row r="116" spans="1:59" x14ac:dyDescent="0.25">
      <c r="A116" s="8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c r="AY116" s="7"/>
      <c r="AZ116"/>
      <c r="BA116" s="7"/>
      <c r="BB116" s="7"/>
      <c r="BC116" s="7"/>
      <c r="BD116" s="72"/>
      <c r="BE116" s="7"/>
      <c r="BF116"/>
      <c r="BG116" s="7"/>
    </row>
    <row r="117" spans="1:59" ht="15" customHeight="1" x14ac:dyDescent="0.25">
      <c r="A117" s="87" t="s">
        <v>642</v>
      </c>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c r="AY117" s="7"/>
      <c r="AZ117"/>
      <c r="BA117" s="7">
        <v>327000</v>
      </c>
      <c r="BB117" s="7">
        <v>420000</v>
      </c>
      <c r="BC117" s="7"/>
      <c r="BD117" s="72"/>
      <c r="BE117" s="7"/>
      <c r="BF117"/>
      <c r="BG117" s="7"/>
    </row>
    <row r="118" spans="1:59" ht="30" x14ac:dyDescent="0.25">
      <c r="A118" s="152" t="s">
        <v>645</v>
      </c>
      <c r="B118" s="7"/>
      <c r="C118" s="7">
        <v>105650</v>
      </c>
      <c r="D118" s="7">
        <f>39760</f>
        <v>39760</v>
      </c>
      <c r="E118" s="7">
        <v>12640</v>
      </c>
      <c r="F118" s="7">
        <v>17320</v>
      </c>
      <c r="G118" s="7"/>
      <c r="H118" s="7"/>
      <c r="I118" s="7"/>
      <c r="J118" s="7"/>
      <c r="K118" s="7">
        <v>58420</v>
      </c>
      <c r="L118" s="7"/>
      <c r="M118" s="7"/>
      <c r="N118" s="7"/>
      <c r="O118" s="7"/>
      <c r="P118" s="7"/>
      <c r="Q118" s="7">
        <f>50200+16000</f>
        <v>66200</v>
      </c>
      <c r="R118" s="7">
        <f>(Q118/15)*12</f>
        <v>52960</v>
      </c>
      <c r="S118" s="7"/>
      <c r="T118" s="7"/>
      <c r="U118" s="7">
        <v>36000</v>
      </c>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c r="AY118" s="7"/>
      <c r="AZ118"/>
      <c r="BA118" s="7">
        <v>728100</v>
      </c>
      <c r="BB118" s="7"/>
      <c r="BC118" s="7"/>
      <c r="BD118" s="72"/>
      <c r="BE118" s="7"/>
      <c r="BF118"/>
      <c r="BG118" s="7"/>
    </row>
    <row r="119" spans="1:59" ht="15" customHeight="1" x14ac:dyDescent="0.25">
      <c r="A119" s="75" t="s">
        <v>883</v>
      </c>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v>704085</v>
      </c>
      <c r="AW119" s="7">
        <v>1280360</v>
      </c>
      <c r="AX119"/>
      <c r="AY119" s="7">
        <v>1400000</v>
      </c>
      <c r="AZ119"/>
      <c r="BA119" s="7">
        <v>608691</v>
      </c>
      <c r="BB119" s="7">
        <v>82580</v>
      </c>
      <c r="BC119" s="7"/>
      <c r="BD119" s="72"/>
      <c r="BE119" s="7"/>
      <c r="BF119"/>
      <c r="BG119" s="7"/>
    </row>
    <row r="120" spans="1:59" ht="15" customHeight="1" x14ac:dyDescent="0.25">
      <c r="A120" s="87" t="s">
        <v>648</v>
      </c>
      <c r="B120" s="7"/>
      <c r="C120" s="7">
        <f>5960+257511</f>
        <v>263471</v>
      </c>
      <c r="D120" s="7">
        <f>1600+51125+11740</f>
        <v>64465</v>
      </c>
      <c r="E120" s="7">
        <f>196816</f>
        <v>196816</v>
      </c>
      <c r="F120" s="7">
        <f>101450</f>
        <v>101450</v>
      </c>
      <c r="G120" s="7">
        <v>357214</v>
      </c>
      <c r="H120" s="7">
        <f>12500</f>
        <v>12500</v>
      </c>
      <c r="I120" s="7">
        <f>5480+8680</f>
        <v>14160</v>
      </c>
      <c r="J120" s="7">
        <f>41160</f>
        <v>41160</v>
      </c>
      <c r="K120" s="7">
        <v>7000</v>
      </c>
      <c r="L120" s="7"/>
      <c r="M120" s="7"/>
      <c r="N120" s="7"/>
      <c r="O120" s="7"/>
      <c r="P120" s="7">
        <f>2660</f>
        <v>2660</v>
      </c>
      <c r="Q120" s="7">
        <f>23000+3740+22200+10320</f>
        <v>59260</v>
      </c>
      <c r="R120" s="7">
        <f>(Q120/15)*12</f>
        <v>47408</v>
      </c>
      <c r="S120" s="7">
        <v>150923</v>
      </c>
      <c r="T120" s="7"/>
      <c r="U120" s="7">
        <v>100000</v>
      </c>
      <c r="V120" s="7">
        <v>100000</v>
      </c>
      <c r="W120" s="7">
        <v>100000</v>
      </c>
      <c r="X120" s="7">
        <v>215000</v>
      </c>
      <c r="Y120" s="7">
        <v>250000</v>
      </c>
      <c r="Z120" s="7">
        <v>200000</v>
      </c>
      <c r="AA120" s="7"/>
      <c r="AB120" s="7">
        <v>371970</v>
      </c>
      <c r="AC120" s="7">
        <v>167490</v>
      </c>
      <c r="AD120" s="7">
        <v>258000</v>
      </c>
      <c r="AE120" s="7">
        <v>97690</v>
      </c>
      <c r="AF120" s="7">
        <v>104690</v>
      </c>
      <c r="AG120" s="7">
        <v>31880</v>
      </c>
      <c r="AH120" s="7">
        <v>250000</v>
      </c>
      <c r="AI120" s="7">
        <v>117850</v>
      </c>
      <c r="AJ120" s="7">
        <v>12000</v>
      </c>
      <c r="AK120" s="7">
        <v>100000</v>
      </c>
      <c r="AL120" s="7">
        <v>199690</v>
      </c>
      <c r="AM120" s="7">
        <v>217250</v>
      </c>
      <c r="AN120" s="7">
        <v>175130</v>
      </c>
      <c r="AO120" s="7">
        <v>226290</v>
      </c>
      <c r="AP120" s="7">
        <v>190370</v>
      </c>
      <c r="AQ120" s="7">
        <v>163973</v>
      </c>
      <c r="AR120" s="7">
        <v>207319</v>
      </c>
      <c r="AS120" s="7">
        <v>109770</v>
      </c>
      <c r="AT120" s="7"/>
      <c r="AU120" s="7">
        <v>468585</v>
      </c>
      <c r="AV120" s="7"/>
      <c r="AW120" s="7"/>
      <c r="AX120"/>
      <c r="AY120" s="7"/>
      <c r="AZ120"/>
      <c r="BA120" s="7"/>
      <c r="BB120" s="7"/>
      <c r="BC120" s="7"/>
      <c r="BD120" s="72"/>
      <c r="BE120" s="7">
        <v>707790</v>
      </c>
      <c r="BF120"/>
      <c r="BG120" s="7">
        <v>400000</v>
      </c>
    </row>
    <row r="121" spans="1:59" ht="15" customHeight="1" x14ac:dyDescent="0.25">
      <c r="A121" s="87" t="s">
        <v>649</v>
      </c>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v>350000</v>
      </c>
      <c r="AB121" s="7"/>
      <c r="AC121" s="7"/>
      <c r="AD121" s="7"/>
      <c r="AE121" s="7"/>
      <c r="AF121" s="7"/>
      <c r="AG121" s="7"/>
      <c r="AH121" s="7"/>
      <c r="AI121" s="7"/>
      <c r="AJ121" s="7"/>
      <c r="AK121" s="7"/>
      <c r="AL121" s="7"/>
      <c r="AM121" s="7"/>
      <c r="AN121" s="7"/>
      <c r="AO121" s="7"/>
      <c r="AP121" s="7"/>
      <c r="AQ121" s="7"/>
      <c r="AR121" s="7"/>
      <c r="AS121" s="7"/>
      <c r="AT121" s="7"/>
      <c r="AU121" s="7"/>
      <c r="AV121" s="7"/>
      <c r="AW121" s="7"/>
      <c r="AX121"/>
      <c r="AY121" s="7"/>
      <c r="AZ121"/>
      <c r="BA121" s="7"/>
      <c r="BB121" s="7"/>
      <c r="BC121" s="7"/>
      <c r="BD121" s="72"/>
      <c r="BE121" s="7"/>
      <c r="BF121"/>
      <c r="BG121" s="7"/>
    </row>
    <row r="122" spans="1:59" ht="30" x14ac:dyDescent="0.25">
      <c r="A122" s="87" t="s">
        <v>643</v>
      </c>
      <c r="B122" s="7"/>
      <c r="C122" s="7"/>
      <c r="D122" s="7"/>
      <c r="E122" s="7"/>
      <c r="F122" s="7">
        <v>81140</v>
      </c>
      <c r="G122" s="7">
        <v>112140</v>
      </c>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c r="AY122" s="7"/>
      <c r="AZ122"/>
      <c r="BA122" s="7"/>
      <c r="BB122" s="7"/>
      <c r="BC122" s="7"/>
      <c r="BD122" s="72"/>
      <c r="BE122" s="7"/>
      <c r="BF122"/>
      <c r="BG122" s="7"/>
    </row>
    <row r="123" spans="1:59" ht="15" customHeight="1" x14ac:dyDescent="0.25">
      <c r="A123" s="87" t="s">
        <v>490</v>
      </c>
      <c r="B123" s="7"/>
      <c r="C123" s="7"/>
      <c r="D123" s="7"/>
      <c r="E123" s="7">
        <v>16800</v>
      </c>
      <c r="F123" s="7"/>
      <c r="G123" s="7"/>
      <c r="H123" s="7">
        <v>7440</v>
      </c>
      <c r="I123" s="7">
        <v>15520</v>
      </c>
      <c r="J123" s="7">
        <v>9580</v>
      </c>
      <c r="K123" s="7">
        <v>13215</v>
      </c>
      <c r="L123" s="7"/>
      <c r="M123" s="7"/>
      <c r="N123" s="7"/>
      <c r="O123" s="7"/>
      <c r="P123" s="7">
        <v>54850</v>
      </c>
      <c r="Q123" s="7">
        <f>60780+33850</f>
        <v>94630</v>
      </c>
      <c r="R123" s="7">
        <f>(Q123/15)*12</f>
        <v>75704</v>
      </c>
      <c r="S123" s="7">
        <v>49000</v>
      </c>
      <c r="T123" s="7"/>
      <c r="U123" s="7">
        <v>43800</v>
      </c>
      <c r="V123" s="7">
        <v>76800</v>
      </c>
      <c r="W123" s="7">
        <v>82140</v>
      </c>
      <c r="X123" s="7">
        <v>85060</v>
      </c>
      <c r="Y123" s="7"/>
      <c r="Z123" s="7">
        <v>80000</v>
      </c>
      <c r="AA123" s="7">
        <v>80000</v>
      </c>
      <c r="AB123" s="7">
        <v>141760</v>
      </c>
      <c r="AC123" s="7"/>
      <c r="AD123" s="7"/>
      <c r="AE123" s="7"/>
      <c r="AF123" s="7"/>
      <c r="AG123" s="7"/>
      <c r="AH123" s="7"/>
      <c r="AI123" s="7"/>
      <c r="AJ123" s="7"/>
      <c r="AK123" s="7"/>
      <c r="AL123" s="7"/>
      <c r="AM123" s="7"/>
      <c r="AN123" s="7"/>
      <c r="AO123" s="7"/>
      <c r="AP123" s="7"/>
      <c r="AQ123" s="7"/>
      <c r="AR123" s="7"/>
      <c r="AS123" s="7"/>
      <c r="AT123" s="7"/>
      <c r="AU123" s="7"/>
      <c r="AV123" s="7"/>
      <c r="AW123" s="7"/>
      <c r="AX123"/>
      <c r="AY123" s="7"/>
      <c r="AZ123"/>
      <c r="BA123" s="7">
        <v>132480</v>
      </c>
      <c r="BB123" s="7">
        <v>196200</v>
      </c>
      <c r="BC123" s="7"/>
      <c r="BD123" s="72"/>
      <c r="BE123" s="7"/>
      <c r="BF123"/>
      <c r="BG123" s="7"/>
    </row>
    <row r="124" spans="1:59" ht="15" customHeight="1" x14ac:dyDescent="0.25">
      <c r="A124" s="87" t="s">
        <v>644</v>
      </c>
      <c r="B124" s="7"/>
      <c r="C124" s="7"/>
      <c r="D124" s="7"/>
      <c r="E124" s="7"/>
      <c r="F124" s="7"/>
      <c r="G124" s="7"/>
      <c r="H124" s="7"/>
      <c r="I124" s="7"/>
      <c r="J124" s="7"/>
      <c r="K124" s="7"/>
      <c r="L124" s="7"/>
      <c r="M124" s="7"/>
      <c r="N124" s="7"/>
      <c r="O124" s="7"/>
      <c r="P124" s="7"/>
      <c r="Q124" s="7"/>
      <c r="R124" s="7"/>
      <c r="S124" s="7"/>
      <c r="T124" s="7"/>
      <c r="U124" s="7"/>
      <c r="V124" s="7"/>
      <c r="W124" s="7"/>
      <c r="X124" s="7"/>
      <c r="Y124" s="7">
        <v>76840</v>
      </c>
      <c r="Z124" s="7"/>
      <c r="AA124" s="7"/>
      <c r="AB124" s="7"/>
      <c r="AC124" s="7">
        <v>177550</v>
      </c>
      <c r="AD124" s="7">
        <v>94000</v>
      </c>
      <c r="AE124" s="7">
        <v>47000</v>
      </c>
      <c r="AF124" s="7">
        <v>99060</v>
      </c>
      <c r="AG124" s="7">
        <v>117000</v>
      </c>
      <c r="AH124" s="7">
        <v>117000</v>
      </c>
      <c r="AI124" s="7">
        <v>655719</v>
      </c>
      <c r="AJ124" s="7">
        <v>590000</v>
      </c>
      <c r="AK124" s="7">
        <v>500000</v>
      </c>
      <c r="AL124" s="7">
        <v>549500</v>
      </c>
      <c r="AM124" s="7">
        <v>344000</v>
      </c>
      <c r="AN124" s="7">
        <v>438800</v>
      </c>
      <c r="AO124" s="7">
        <v>330500</v>
      </c>
      <c r="AP124" s="7">
        <v>317500</v>
      </c>
      <c r="AQ124" s="7">
        <v>325000</v>
      </c>
      <c r="AR124" s="7">
        <v>231100</v>
      </c>
      <c r="AS124" s="7">
        <v>341550</v>
      </c>
      <c r="AT124" s="7"/>
      <c r="AU124" s="7">
        <v>466262</v>
      </c>
      <c r="AV124" s="7">
        <v>475920</v>
      </c>
      <c r="AW124" s="7">
        <v>434180</v>
      </c>
      <c r="AX124"/>
      <c r="AY124" s="7">
        <v>800000</v>
      </c>
      <c r="AZ124"/>
      <c r="BA124" s="7"/>
      <c r="BB124" s="7"/>
      <c r="BC124" s="7"/>
      <c r="BD124" s="72"/>
      <c r="BE124" s="7">
        <f>328200+617000</f>
        <v>945200</v>
      </c>
      <c r="BF124"/>
      <c r="BG124" s="7">
        <v>1000000</v>
      </c>
    </row>
    <row r="125" spans="1:59" ht="15" customHeight="1" x14ac:dyDescent="0.25">
      <c r="A125" s="87" t="s">
        <v>593</v>
      </c>
      <c r="B125" s="7">
        <v>171000</v>
      </c>
      <c r="C125" s="7">
        <f>38520+48000</f>
        <v>86520</v>
      </c>
      <c r="D125" s="7">
        <v>6800</v>
      </c>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c r="AY125" s="7"/>
      <c r="AZ125"/>
      <c r="BA125" s="7"/>
      <c r="BB125" s="7"/>
      <c r="BC125" s="7"/>
      <c r="BD125" s="72"/>
      <c r="BE125" s="7"/>
      <c r="BF125"/>
      <c r="BG125" s="7"/>
    </row>
    <row r="126" spans="1:59" ht="15" customHeight="1" x14ac:dyDescent="0.25">
      <c r="A126" s="87" t="s">
        <v>1060</v>
      </c>
      <c r="B126" s="7">
        <v>100000</v>
      </c>
      <c r="C126" s="7">
        <v>300000</v>
      </c>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c r="AY126" s="7"/>
      <c r="AZ126"/>
      <c r="BA126" s="7"/>
      <c r="BB126" s="7"/>
      <c r="BC126" s="7"/>
      <c r="BD126" s="72"/>
      <c r="BE126" s="7"/>
      <c r="BF126"/>
      <c r="BG126" s="7"/>
    </row>
    <row r="127" spans="1:59" ht="15" customHeight="1" x14ac:dyDescent="0.25">
      <c r="A127" s="87" t="s">
        <v>646</v>
      </c>
      <c r="B127" s="7">
        <v>1360</v>
      </c>
      <c r="C127" s="7"/>
      <c r="D127" s="7">
        <v>8960</v>
      </c>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c r="AY127" s="7"/>
      <c r="AZ127"/>
      <c r="BA127" s="7"/>
      <c r="BB127" s="7"/>
      <c r="BC127" s="7"/>
      <c r="BD127" s="72"/>
      <c r="BE127" s="7"/>
      <c r="BF127"/>
      <c r="BG127" s="7"/>
    </row>
    <row r="128" spans="1:59" ht="15" customHeight="1" x14ac:dyDescent="0.25">
      <c r="A128" s="87" t="s">
        <v>647</v>
      </c>
      <c r="B128" s="7"/>
      <c r="C128" s="7">
        <f>22000+82760</f>
        <v>104760</v>
      </c>
      <c r="D128" s="7"/>
      <c r="E128" s="7"/>
      <c r="F128" s="7"/>
      <c r="G128" s="7"/>
      <c r="H128" s="7">
        <v>293500</v>
      </c>
      <c r="I128" s="7">
        <v>129800</v>
      </c>
      <c r="J128" s="7">
        <v>112522</v>
      </c>
      <c r="K128" s="7">
        <v>42945</v>
      </c>
      <c r="L128" s="7"/>
      <c r="M128" s="7"/>
      <c r="N128" s="7"/>
      <c r="O128" s="7"/>
      <c r="P128" s="7"/>
      <c r="Q128" s="7">
        <v>2880</v>
      </c>
      <c r="R128" s="7">
        <f>(Q128/15)*12</f>
        <v>2304</v>
      </c>
      <c r="S128" s="7"/>
      <c r="T128" s="7"/>
      <c r="U128" s="7"/>
      <c r="V128" s="7"/>
      <c r="W128" s="7"/>
      <c r="X128" s="7"/>
      <c r="Y128" s="7"/>
      <c r="Z128" s="7"/>
      <c r="AA128" s="7"/>
      <c r="AB128" s="7">
        <v>369040</v>
      </c>
      <c r="AC128" s="7">
        <v>684240</v>
      </c>
      <c r="AD128" s="7">
        <v>281160</v>
      </c>
      <c r="AE128" s="7">
        <v>52700</v>
      </c>
      <c r="AF128" s="7">
        <f>138380+182580</f>
        <v>320960</v>
      </c>
      <c r="AG128" s="7">
        <v>466520</v>
      </c>
      <c r="AH128" s="7"/>
      <c r="AI128" s="7">
        <v>1123980</v>
      </c>
      <c r="AJ128" s="7">
        <v>368560</v>
      </c>
      <c r="AK128" s="7"/>
      <c r="AL128" s="7"/>
      <c r="AM128" s="7"/>
      <c r="AN128" s="7"/>
      <c r="AO128" s="7"/>
      <c r="AP128" s="7"/>
      <c r="AQ128" s="7"/>
      <c r="AR128" s="7"/>
      <c r="AS128" s="7"/>
      <c r="AT128" s="7"/>
      <c r="AU128" s="7"/>
      <c r="AV128" s="7"/>
      <c r="AW128" s="7"/>
      <c r="AX128"/>
      <c r="AY128" s="7"/>
      <c r="AZ128"/>
      <c r="BA128" s="7"/>
      <c r="BB128" s="7"/>
      <c r="BC128" s="7"/>
      <c r="BD128" s="72"/>
      <c r="BE128" s="7"/>
      <c r="BF128"/>
      <c r="BG128" s="7"/>
    </row>
    <row r="129" spans="1:59" ht="15" customHeight="1" x14ac:dyDescent="0.25">
      <c r="A129" s="87" t="s">
        <v>1061</v>
      </c>
      <c r="B129" s="7"/>
      <c r="C129" s="7">
        <v>109580</v>
      </c>
      <c r="D129" s="7">
        <v>151640</v>
      </c>
      <c r="E129" s="7">
        <v>81600</v>
      </c>
      <c r="F129" s="7">
        <v>51300</v>
      </c>
      <c r="G129" s="7"/>
      <c r="H129" s="7">
        <v>170020</v>
      </c>
      <c r="I129" s="7">
        <v>207400</v>
      </c>
      <c r="J129" s="7">
        <v>14880</v>
      </c>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c r="AY129" s="7"/>
      <c r="AZ129"/>
      <c r="BA129" s="7"/>
      <c r="BB129" s="7"/>
      <c r="BC129" s="7"/>
      <c r="BD129" s="72"/>
      <c r="BE129" s="7"/>
      <c r="BF129"/>
      <c r="BG129" s="7"/>
    </row>
    <row r="130" spans="1:59" x14ac:dyDescent="0.25">
      <c r="A130" s="8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c r="AY130" s="7"/>
      <c r="AZ130"/>
      <c r="BA130" s="7"/>
      <c r="BB130" s="7"/>
      <c r="BC130" s="7"/>
      <c r="BD130" s="72"/>
      <c r="BE130" s="7"/>
      <c r="BF130"/>
      <c r="BG130" s="7"/>
    </row>
    <row r="131" spans="1:59" x14ac:dyDescent="0.25">
      <c r="A131" s="87" t="s">
        <v>652</v>
      </c>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c r="AY131" s="7"/>
      <c r="AZ131"/>
      <c r="BA131" s="7">
        <v>300000</v>
      </c>
      <c r="BB131" s="7">
        <v>285890</v>
      </c>
      <c r="BC131" s="7"/>
      <c r="BD131" s="72"/>
      <c r="BE131" s="7"/>
      <c r="BF131"/>
      <c r="BG131" s="7"/>
    </row>
    <row r="132" spans="1:59" x14ac:dyDescent="0.25">
      <c r="A132" s="87" t="s">
        <v>651</v>
      </c>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c r="AY132" s="7"/>
      <c r="AZ132"/>
      <c r="BA132" s="7"/>
      <c r="BB132" s="7">
        <v>1328860</v>
      </c>
      <c r="BC132" s="7"/>
      <c r="BD132" s="72"/>
      <c r="BE132" s="7"/>
      <c r="BF132"/>
      <c r="BG132" s="7"/>
    </row>
    <row r="133" spans="1:59" x14ac:dyDescent="0.25">
      <c r="A133" s="87" t="s">
        <v>650</v>
      </c>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c r="AY133" s="7"/>
      <c r="AZ133"/>
      <c r="BA133" s="7"/>
      <c r="BB133" s="7"/>
      <c r="BC133" s="7"/>
      <c r="BD133" s="72"/>
      <c r="BE133" s="7"/>
      <c r="BF133"/>
      <c r="BG133" s="7"/>
    </row>
    <row r="134" spans="1:59" x14ac:dyDescent="0.25">
      <c r="A134" s="8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c r="AY134" s="7"/>
      <c r="AZ134"/>
      <c r="BA134" s="7"/>
      <c r="BB134" s="7"/>
      <c r="BC134" s="7"/>
      <c r="BD134" s="72"/>
      <c r="BE134" s="7"/>
      <c r="BF134"/>
      <c r="BG134" s="7"/>
    </row>
    <row r="135" spans="1:59" x14ac:dyDescent="0.25">
      <c r="A135" s="87" t="s">
        <v>154</v>
      </c>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c r="AY135" s="7"/>
      <c r="AZ135"/>
      <c r="BA135" s="7">
        <v>531660</v>
      </c>
      <c r="BB135" s="7"/>
      <c r="BC135" s="7"/>
      <c r="BD135" s="72"/>
      <c r="BE135" s="7"/>
      <c r="BF135"/>
      <c r="BG135" s="7"/>
    </row>
    <row r="136" spans="1:59" x14ac:dyDescent="0.25">
      <c r="A136" s="87" t="s">
        <v>691</v>
      </c>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c r="AY136" s="7"/>
      <c r="AZ136"/>
      <c r="BA136" s="7"/>
      <c r="BB136" s="7"/>
      <c r="BC136" s="7"/>
      <c r="BD136" s="72"/>
      <c r="BE136" s="7"/>
      <c r="BF136"/>
      <c r="BG136" s="7">
        <v>1000000</v>
      </c>
    </row>
    <row r="137" spans="1:59" x14ac:dyDescent="0.25">
      <c r="A137" s="8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c r="AY137" s="7"/>
      <c r="AZ137"/>
      <c r="BA137" s="7"/>
      <c r="BB137" s="7"/>
      <c r="BC137" s="7"/>
      <c r="BD137" s="72"/>
      <c r="BE137" s="7"/>
      <c r="BF137"/>
      <c r="BG137" s="7"/>
    </row>
    <row r="138" spans="1:59" x14ac:dyDescent="0.25">
      <c r="A138" s="87" t="s">
        <v>653</v>
      </c>
      <c r="B138" s="7"/>
      <c r="C138" s="7"/>
      <c r="D138" s="7"/>
      <c r="E138" s="7"/>
      <c r="F138" s="7"/>
      <c r="G138" s="7"/>
      <c r="H138" s="7"/>
      <c r="I138" s="7"/>
      <c r="J138" s="7"/>
      <c r="K138" s="7">
        <f>245260+235048</f>
        <v>480308</v>
      </c>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c r="AY138" s="7"/>
      <c r="AZ138"/>
      <c r="BA138" s="7"/>
      <c r="BB138" s="7"/>
      <c r="BC138" s="7"/>
      <c r="BD138" s="72"/>
      <c r="BE138" s="7"/>
      <c r="BF138"/>
      <c r="BG138" s="7"/>
    </row>
    <row r="139" spans="1:59" x14ac:dyDescent="0.25">
      <c r="A139" s="8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c r="AY139" s="7"/>
      <c r="AZ139"/>
      <c r="BA139"/>
      <c r="BB139" s="7"/>
      <c r="BC139" s="7"/>
      <c r="BD139" s="72"/>
      <c r="BE139" s="7"/>
      <c r="BF139"/>
      <c r="BG139" s="7"/>
    </row>
    <row r="140" spans="1:59" x14ac:dyDescent="0.25">
      <c r="A140" s="75" t="s">
        <v>164</v>
      </c>
      <c r="B140" s="7">
        <f>8920</f>
        <v>8920</v>
      </c>
      <c r="C140" s="7">
        <f>2720+5760</f>
        <v>8480</v>
      </c>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c r="AY140" s="7"/>
      <c r="AZ140"/>
      <c r="BA140" s="7">
        <v>147380</v>
      </c>
      <c r="BB140" s="7">
        <v>431760</v>
      </c>
      <c r="BC140" s="7"/>
      <c r="BD140" s="72"/>
      <c r="BE140" s="7"/>
      <c r="BF140"/>
      <c r="BG140" s="7"/>
    </row>
    <row r="141" spans="1:59" x14ac:dyDescent="0.25">
      <c r="A141" s="87" t="s">
        <v>594</v>
      </c>
      <c r="B141" s="7">
        <f>560</f>
        <v>560</v>
      </c>
      <c r="C141" s="7">
        <f>1980+1080</f>
        <v>3060</v>
      </c>
      <c r="D141" s="7">
        <v>500</v>
      </c>
      <c r="E141" s="7"/>
      <c r="F141" s="7"/>
      <c r="G141" s="7">
        <v>1800</v>
      </c>
      <c r="H141" s="7">
        <v>2020</v>
      </c>
      <c r="I141" s="7"/>
      <c r="J141" s="7">
        <v>1880</v>
      </c>
      <c r="K141" s="7"/>
      <c r="L141" s="7"/>
      <c r="M141" s="7"/>
      <c r="N141" s="7"/>
      <c r="O141" s="7"/>
      <c r="P141" s="7">
        <v>3100</v>
      </c>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c r="AY141" s="7"/>
      <c r="AZ141"/>
      <c r="BA141" s="7"/>
      <c r="BB141" s="7"/>
      <c r="BC141" s="7"/>
      <c r="BD141" s="72"/>
      <c r="BE141" s="7"/>
      <c r="BF141"/>
      <c r="BG141" s="7"/>
    </row>
    <row r="142" spans="1:59" x14ac:dyDescent="0.25">
      <c r="A142" s="75" t="s">
        <v>882</v>
      </c>
      <c r="B142" s="7">
        <f>3500</f>
        <v>3500</v>
      </c>
      <c r="C142" s="7">
        <f>2785+320</f>
        <v>3105</v>
      </c>
      <c r="D142" s="7">
        <f>5760+2880+8160+10600+10000</f>
        <v>37400</v>
      </c>
      <c r="E142" s="7">
        <f>14610+8800</f>
        <v>23410</v>
      </c>
      <c r="F142" s="7"/>
      <c r="G142" s="7">
        <v>23460</v>
      </c>
      <c r="H142" s="7">
        <f>23440+2020</f>
        <v>25460</v>
      </c>
      <c r="I142" s="7">
        <f>24920+2160</f>
        <v>27080</v>
      </c>
      <c r="J142" s="7">
        <v>10000</v>
      </c>
      <c r="K142" s="7"/>
      <c r="L142" s="7"/>
      <c r="M142" s="7"/>
      <c r="N142" s="7"/>
      <c r="O142" s="7"/>
      <c r="P142" s="7">
        <v>10600</v>
      </c>
      <c r="Q142" s="7">
        <v>16820</v>
      </c>
      <c r="R142" s="7">
        <f>(Q142/15)*12</f>
        <v>13456</v>
      </c>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c r="AY142" s="7"/>
      <c r="AZ142"/>
      <c r="BA142" s="7"/>
      <c r="BB142" s="7"/>
      <c r="BC142" s="7"/>
      <c r="BD142" s="72"/>
      <c r="BE142" s="7">
        <v>285200</v>
      </c>
      <c r="BF142"/>
      <c r="BG142" s="7">
        <v>500000</v>
      </c>
    </row>
    <row r="143" spans="1:59" ht="30" x14ac:dyDescent="0.25">
      <c r="A143" s="87" t="s">
        <v>1062</v>
      </c>
      <c r="B143" s="7">
        <f>2000+54800</f>
        <v>56800</v>
      </c>
      <c r="C143" s="7">
        <v>8680</v>
      </c>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c r="AY143" s="7"/>
      <c r="AZ143"/>
      <c r="BA143" s="7"/>
      <c r="BB143" s="7">
        <v>363780</v>
      </c>
      <c r="BC143" s="7"/>
      <c r="BD143" s="72"/>
      <c r="BE143" s="7"/>
      <c r="BF143"/>
      <c r="BG143" s="7"/>
    </row>
    <row r="144" spans="1:59" x14ac:dyDescent="0.25">
      <c r="A144" s="87" t="s">
        <v>595</v>
      </c>
      <c r="B144" s="7"/>
      <c r="C144" s="7"/>
      <c r="D144" s="7"/>
      <c r="E144" s="7"/>
      <c r="F144" s="7"/>
      <c r="G144" s="7"/>
      <c r="H144" s="7"/>
      <c r="I144" s="7"/>
      <c r="J144" s="7"/>
      <c r="K144" s="7">
        <f>480308</f>
        <v>480308</v>
      </c>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c r="AY144" s="7"/>
      <c r="AZ144"/>
      <c r="BA144" s="7"/>
      <c r="BB144" s="7"/>
      <c r="BC144" s="7"/>
      <c r="BD144" s="72"/>
      <c r="BE144" s="7"/>
      <c r="BF144"/>
      <c r="BG144" s="7"/>
    </row>
    <row r="145" spans="1:59" x14ac:dyDescent="0.25">
      <c r="A145" s="87" t="s">
        <v>654</v>
      </c>
      <c r="B145" s="7"/>
      <c r="C145" s="7">
        <v>17100</v>
      </c>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c r="AY145" s="7"/>
      <c r="AZ145"/>
      <c r="BA145" s="7"/>
      <c r="BB145" s="7"/>
      <c r="BC145" s="7"/>
      <c r="BD145" s="72"/>
      <c r="BE145" s="7"/>
      <c r="BF145"/>
      <c r="BG145" s="7"/>
    </row>
    <row r="146" spans="1:59" x14ac:dyDescent="0.25">
      <c r="A146" s="87" t="s">
        <v>655</v>
      </c>
      <c r="B146" s="7"/>
      <c r="C146" s="7"/>
      <c r="D146" s="7"/>
      <c r="E146" s="7"/>
      <c r="F146" s="7"/>
      <c r="G146" s="7"/>
      <c r="H146" s="7"/>
      <c r="I146" s="7"/>
      <c r="J146" s="7"/>
      <c r="K146" s="7"/>
      <c r="L146" s="7"/>
      <c r="M146" s="7"/>
      <c r="N146" s="7"/>
      <c r="O146" s="7"/>
      <c r="P146" s="7"/>
      <c r="Q146" s="7">
        <f>15600+10000</f>
        <v>25600</v>
      </c>
      <c r="R146" s="7">
        <f>(Q146/15)*12</f>
        <v>20480</v>
      </c>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c r="AY146" s="7"/>
      <c r="AZ146"/>
      <c r="BA146" s="7"/>
      <c r="BB146" s="7"/>
      <c r="BC146" s="7"/>
      <c r="BD146" s="72"/>
      <c r="BE146" s="7"/>
      <c r="BF146"/>
      <c r="BG146" s="7"/>
    </row>
    <row r="147" spans="1:59" x14ac:dyDescent="0.25">
      <c r="A147" s="87" t="s">
        <v>656</v>
      </c>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v>550000</v>
      </c>
      <c r="AN147" s="7"/>
      <c r="AO147" s="7"/>
      <c r="AP147" s="7"/>
      <c r="AQ147" s="7"/>
      <c r="AR147" s="7"/>
      <c r="AS147" s="7"/>
      <c r="AT147" s="7"/>
      <c r="AU147" s="7"/>
      <c r="AV147" s="7"/>
      <c r="AW147" s="7"/>
      <c r="AX147"/>
      <c r="AY147" s="7"/>
      <c r="AZ147"/>
      <c r="BA147" s="7"/>
      <c r="BB147" s="7"/>
      <c r="BC147" s="7"/>
      <c r="BD147" s="72"/>
      <c r="BE147" s="7"/>
      <c r="BF147"/>
      <c r="BG147" s="7"/>
    </row>
    <row r="148" spans="1:59" x14ac:dyDescent="0.25">
      <c r="A148" s="87" t="s">
        <v>1063</v>
      </c>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v>164830</v>
      </c>
      <c r="AQ148" s="77"/>
      <c r="AR148" s="7"/>
      <c r="AS148" s="7"/>
      <c r="AT148" s="7"/>
      <c r="AU148" s="7"/>
      <c r="AV148" s="7"/>
      <c r="AW148" s="7"/>
      <c r="AX148"/>
      <c r="AY148" s="7"/>
      <c r="AZ148"/>
      <c r="BA148" s="7"/>
      <c r="BB148" s="7"/>
      <c r="BC148" s="7"/>
      <c r="BD148" s="72"/>
      <c r="BE148" s="7"/>
      <c r="BF148"/>
      <c r="BG148" s="7"/>
    </row>
    <row r="149" spans="1:59" x14ac:dyDescent="0.25">
      <c r="A149" s="87" t="s">
        <v>657</v>
      </c>
      <c r="B149" s="7"/>
      <c r="C149" s="7">
        <v>34040</v>
      </c>
      <c r="D149" s="7"/>
      <c r="E149" s="7"/>
      <c r="F149" s="7"/>
      <c r="G149" s="7"/>
      <c r="H149" s="7">
        <v>7520</v>
      </c>
      <c r="I149" s="7">
        <v>7680</v>
      </c>
      <c r="J149" s="7"/>
      <c r="K149" s="7">
        <v>23680</v>
      </c>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c r="AY149" s="7"/>
      <c r="AZ149"/>
      <c r="BA149" s="7">
        <v>9900</v>
      </c>
      <c r="BB149" s="7"/>
      <c r="BC149" s="7"/>
      <c r="BD149" s="72"/>
      <c r="BE149" s="7"/>
      <c r="BF149"/>
      <c r="BG149" s="7"/>
    </row>
    <row r="150" spans="1:59" x14ac:dyDescent="0.25">
      <c r="A150" s="8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c r="AY150" s="7"/>
      <c r="AZ150"/>
      <c r="BA150" s="7"/>
      <c r="BB150" s="7"/>
      <c r="BC150" s="7"/>
      <c r="BD150" s="72"/>
      <c r="BE150" s="7"/>
      <c r="BF150"/>
      <c r="BG150" s="7"/>
    </row>
    <row r="151" spans="1:59" x14ac:dyDescent="0.25">
      <c r="A151" s="140" t="s">
        <v>504</v>
      </c>
      <c r="B151" s="7">
        <v>8094</v>
      </c>
      <c r="C151" s="7"/>
      <c r="D151" s="7"/>
      <c r="E151" s="7">
        <v>52392</v>
      </c>
      <c r="F151" s="7">
        <v>92592</v>
      </c>
      <c r="G151" s="7">
        <f>16980+66158+5360</f>
        <v>88498</v>
      </c>
      <c r="H151" s="7"/>
      <c r="I151" s="7"/>
      <c r="J151" s="7"/>
      <c r="K151" s="7"/>
      <c r="L151" s="7"/>
      <c r="M151" s="7"/>
      <c r="N151" s="7"/>
      <c r="O151" s="7"/>
      <c r="P151" s="7">
        <v>11720</v>
      </c>
      <c r="Q151" s="7">
        <f>56510+27985</f>
        <v>84495</v>
      </c>
      <c r="R151" s="7">
        <f>(Q151/15)*12</f>
        <v>67596</v>
      </c>
      <c r="S151" s="7">
        <v>65200</v>
      </c>
      <c r="T151" s="7"/>
      <c r="U151" s="7">
        <v>150000</v>
      </c>
      <c r="V151" s="7">
        <v>117000</v>
      </c>
      <c r="W151" s="7">
        <v>95985</v>
      </c>
      <c r="X151" s="7">
        <v>68800</v>
      </c>
      <c r="Y151" s="7">
        <f>130000+99700</f>
        <v>229700</v>
      </c>
      <c r="Z151" s="7">
        <v>132100</v>
      </c>
      <c r="AA151" s="7">
        <v>254000</v>
      </c>
      <c r="AB151" s="7">
        <v>100670</v>
      </c>
      <c r="AC151" s="7">
        <v>170780</v>
      </c>
      <c r="AD151" s="7">
        <v>106280</v>
      </c>
      <c r="AE151" s="7">
        <v>42500</v>
      </c>
      <c r="AF151" s="7">
        <v>59120</v>
      </c>
      <c r="AG151" s="7">
        <v>126200</v>
      </c>
      <c r="AH151" s="7">
        <v>130000</v>
      </c>
      <c r="AI151" s="7">
        <v>120141</v>
      </c>
      <c r="AJ151" s="7">
        <v>112640</v>
      </c>
      <c r="AK151" s="7">
        <v>207343</v>
      </c>
      <c r="AL151" s="7">
        <v>87220</v>
      </c>
      <c r="AM151" s="7">
        <v>187410</v>
      </c>
      <c r="AN151" s="7">
        <v>165760</v>
      </c>
      <c r="AO151" s="7">
        <v>66231</v>
      </c>
      <c r="AP151" s="7">
        <v>110200</v>
      </c>
      <c r="AQ151" s="7">
        <v>171740</v>
      </c>
      <c r="AR151" s="7">
        <v>9140</v>
      </c>
      <c r="AS151" s="7"/>
      <c r="AT151" s="7"/>
      <c r="AU151" s="7">
        <v>384770</v>
      </c>
      <c r="AV151" s="7">
        <v>272620</v>
      </c>
      <c r="AW151" s="7">
        <v>321270</v>
      </c>
      <c r="AX151"/>
      <c r="AY151" s="7">
        <v>600000</v>
      </c>
      <c r="AZ151"/>
      <c r="BA151" s="7"/>
      <c r="BB151" s="7">
        <v>242330</v>
      </c>
      <c r="BC151" s="7"/>
      <c r="BD151" s="72"/>
      <c r="BE151" s="7">
        <v>120000</v>
      </c>
      <c r="BF151"/>
      <c r="BG151" s="7">
        <v>400000</v>
      </c>
    </row>
    <row r="152" spans="1:59" x14ac:dyDescent="0.25">
      <c r="A152" s="87" t="s">
        <v>1064</v>
      </c>
      <c r="B152" s="7"/>
      <c r="C152" s="7"/>
      <c r="D152" s="7"/>
      <c r="E152" s="7"/>
      <c r="F152" s="7"/>
      <c r="G152" s="7"/>
      <c r="H152" s="7"/>
      <c r="I152" s="7"/>
      <c r="J152" s="7"/>
      <c r="K152" s="7"/>
      <c r="L152" s="7"/>
      <c r="M152" s="7"/>
      <c r="N152" s="7"/>
      <c r="O152" s="7"/>
      <c r="P152" s="7"/>
      <c r="Q152" s="7"/>
      <c r="R152" s="7"/>
      <c r="S152" s="7">
        <f>16000+77360</f>
        <v>93360</v>
      </c>
      <c r="T152" s="7"/>
      <c r="U152" s="7">
        <v>97670</v>
      </c>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c r="AY152" s="7"/>
      <c r="AZ152"/>
      <c r="BA152" s="7"/>
      <c r="BB152" s="7"/>
      <c r="BC152" s="7"/>
      <c r="BD152" s="72"/>
      <c r="BE152" s="7"/>
      <c r="BF152"/>
      <c r="BG152" s="7"/>
    </row>
    <row r="153" spans="1:59" x14ac:dyDescent="0.25">
      <c r="A153" s="8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c r="AY153" s="7"/>
      <c r="AZ153"/>
      <c r="BA153" s="7"/>
      <c r="BB153" s="7"/>
      <c r="BC153" s="7"/>
      <c r="BD153" s="72"/>
      <c r="BE153" s="7"/>
      <c r="BF153"/>
      <c r="BG153" s="7"/>
    </row>
    <row r="154" spans="1:59" x14ac:dyDescent="0.25">
      <c r="A154" s="87" t="s">
        <v>1065</v>
      </c>
      <c r="B154" s="7"/>
      <c r="C154" s="7"/>
      <c r="D154" s="7"/>
      <c r="E154" s="7"/>
      <c r="F154" s="7"/>
      <c r="G154" s="7"/>
      <c r="H154" s="7"/>
      <c r="I154" s="7"/>
      <c r="J154" s="7"/>
      <c r="K154" s="7"/>
      <c r="L154" s="7"/>
      <c r="M154" s="7"/>
      <c r="N154" s="7"/>
      <c r="O154" s="7"/>
      <c r="P154" s="7">
        <v>23200</v>
      </c>
      <c r="Q154" s="7"/>
      <c r="R154" s="7"/>
      <c r="S154" s="7"/>
      <c r="T154" s="7"/>
      <c r="U154" s="7"/>
      <c r="V154" s="7"/>
      <c r="W154" s="7"/>
      <c r="X154" s="7"/>
      <c r="Y154" s="7"/>
      <c r="Z154" s="7">
        <v>266160</v>
      </c>
      <c r="AA154" s="7"/>
      <c r="AB154" s="7"/>
      <c r="AC154" s="7">
        <v>90000</v>
      </c>
      <c r="AD154" s="7">
        <v>181160</v>
      </c>
      <c r="AE154" s="7"/>
      <c r="AF154" s="7">
        <v>81933</v>
      </c>
      <c r="AG154" s="7">
        <v>179521</v>
      </c>
      <c r="AH154" s="7">
        <v>300000</v>
      </c>
      <c r="AI154" s="7">
        <v>100000</v>
      </c>
      <c r="AJ154" s="7">
        <v>393330</v>
      </c>
      <c r="AK154" s="7"/>
      <c r="AL154" s="7">
        <v>150000</v>
      </c>
      <c r="AM154" s="7">
        <v>291970</v>
      </c>
      <c r="AN154" s="7">
        <v>271400</v>
      </c>
      <c r="AO154" s="7">
        <v>587264</v>
      </c>
      <c r="AP154" s="7">
        <v>141130</v>
      </c>
      <c r="AQ154" s="7">
        <v>272280</v>
      </c>
      <c r="AR154" s="7">
        <v>153000</v>
      </c>
      <c r="AS154" s="7">
        <v>366846</v>
      </c>
      <c r="AT154" s="7"/>
      <c r="AU154" s="7">
        <v>80030</v>
      </c>
      <c r="AV154" s="7">
        <v>176412</v>
      </c>
      <c r="AW154" s="7">
        <v>275000</v>
      </c>
      <c r="AX154"/>
      <c r="AY154" s="7">
        <v>638000</v>
      </c>
      <c r="AZ154"/>
      <c r="BA154" s="7"/>
      <c r="BB154" s="7"/>
      <c r="BC154" s="7"/>
      <c r="BD154" s="72"/>
      <c r="BE154" s="7">
        <v>467110</v>
      </c>
      <c r="BF154"/>
      <c r="BG154" s="7">
        <v>1200000</v>
      </c>
    </row>
    <row r="155" spans="1:59" x14ac:dyDescent="0.25">
      <c r="A155" s="87" t="s">
        <v>658</v>
      </c>
      <c r="B155" s="7"/>
      <c r="C155" s="7"/>
      <c r="D155" s="7">
        <v>568800</v>
      </c>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c r="AY155" s="7"/>
      <c r="AZ155"/>
      <c r="BA155" s="7"/>
      <c r="BB155" s="7"/>
      <c r="BC155" s="7"/>
      <c r="BD155" s="72"/>
      <c r="BE155" s="7"/>
      <c r="BF155"/>
      <c r="BG155" s="7"/>
    </row>
    <row r="156" spans="1:59" x14ac:dyDescent="0.25">
      <c r="A156" s="87" t="s">
        <v>596</v>
      </c>
      <c r="B156" s="7"/>
      <c r="C156" s="7"/>
      <c r="D156" s="7"/>
      <c r="E156" s="7"/>
      <c r="F156" s="7"/>
      <c r="G156" s="7"/>
      <c r="H156" s="7"/>
      <c r="I156" s="7"/>
      <c r="J156" s="7"/>
      <c r="K156" s="7"/>
      <c r="L156" s="7"/>
      <c r="M156" s="7"/>
      <c r="N156" s="7"/>
      <c r="O156" s="7"/>
      <c r="P156" s="7"/>
      <c r="Q156" s="7"/>
      <c r="R156" s="7"/>
      <c r="S156" s="7"/>
      <c r="T156" s="7"/>
      <c r="U156" s="7"/>
      <c r="V156" s="7"/>
      <c r="W156" s="7"/>
      <c r="X156" s="7"/>
      <c r="Y156" s="7"/>
      <c r="Z156" s="7">
        <v>216543</v>
      </c>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c r="AY156" s="7"/>
      <c r="AZ156"/>
      <c r="BA156" s="7"/>
      <c r="BB156" s="7"/>
      <c r="BC156" s="7"/>
      <c r="BD156" s="72"/>
      <c r="BE156" s="7"/>
      <c r="BF156"/>
      <c r="BG156" s="7"/>
    </row>
    <row r="157" spans="1:59" x14ac:dyDescent="0.25">
      <c r="A157" s="87" t="s">
        <v>659</v>
      </c>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c r="AY157" s="7"/>
      <c r="AZ157"/>
      <c r="BA157" s="7"/>
      <c r="BB157" s="7"/>
      <c r="BC157" s="7"/>
      <c r="BD157" s="72"/>
      <c r="BE157" s="7"/>
      <c r="BF157"/>
      <c r="BG157" s="7">
        <v>1444460</v>
      </c>
    </row>
    <row r="158" spans="1:59" x14ac:dyDescent="0.25">
      <c r="A158" s="8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c r="AY158" s="7"/>
      <c r="AZ158"/>
      <c r="BA158" s="7"/>
      <c r="BB158" s="7"/>
      <c r="BC158" s="7"/>
      <c r="BD158" s="72"/>
      <c r="BE158"/>
      <c r="BF158"/>
      <c r="BG158" s="7"/>
    </row>
    <row r="159" spans="1:59" x14ac:dyDescent="0.25">
      <c r="A159" s="8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c r="AY159" s="7"/>
      <c r="AZ159"/>
      <c r="BA159" s="7"/>
      <c r="BB159" s="7"/>
      <c r="BC159" s="7"/>
      <c r="BD159" s="72"/>
      <c r="BE159"/>
      <c r="BF159"/>
      <c r="BG159" s="7"/>
    </row>
    <row r="160" spans="1:59" x14ac:dyDescent="0.25">
      <c r="A160" s="141" t="s">
        <v>137</v>
      </c>
      <c r="B160" s="8">
        <f t="shared" ref="B160:L160" si="7">SUM(B88:B159)</f>
        <v>548478</v>
      </c>
      <c r="C160" s="8">
        <f t="shared" si="7"/>
        <v>1443946</v>
      </c>
      <c r="D160" s="8">
        <f t="shared" si="7"/>
        <v>1233441</v>
      </c>
      <c r="E160" s="8">
        <f t="shared" si="7"/>
        <v>616978</v>
      </c>
      <c r="F160" s="8">
        <f t="shared" si="7"/>
        <v>660788</v>
      </c>
      <c r="G160" s="8">
        <f t="shared" si="7"/>
        <v>744939</v>
      </c>
      <c r="H160" s="8">
        <f t="shared" si="7"/>
        <v>832840</v>
      </c>
      <c r="I160" s="8">
        <f t="shared" si="7"/>
        <v>611676</v>
      </c>
      <c r="J160" s="8">
        <f t="shared" si="7"/>
        <v>427032</v>
      </c>
      <c r="K160" s="8">
        <f t="shared" si="7"/>
        <v>1205876</v>
      </c>
      <c r="L160" s="8">
        <f t="shared" si="7"/>
        <v>0</v>
      </c>
      <c r="M160" s="8"/>
      <c r="N160" s="8"/>
      <c r="O160" s="8"/>
      <c r="P160" s="8">
        <f>SUM(P88:P159)</f>
        <v>207883</v>
      </c>
      <c r="Q160" s="8">
        <f>SUM(Q88:Q159)</f>
        <v>1233018</v>
      </c>
      <c r="R160" s="7">
        <f>(Q160/15)*12</f>
        <v>986414.39999999991</v>
      </c>
      <c r="S160" s="8">
        <f>SUM(S88:S159)</f>
        <v>775178</v>
      </c>
      <c r="T160" s="8">
        <f>(S160/15)*12</f>
        <v>620142.4</v>
      </c>
      <c r="U160" s="8">
        <f t="shared" ref="U160:AW160" si="8">SUM(U88:U159)</f>
        <v>771943</v>
      </c>
      <c r="V160" s="8">
        <f t="shared" si="8"/>
        <v>639390</v>
      </c>
      <c r="W160" s="8">
        <f t="shared" si="8"/>
        <v>643945</v>
      </c>
      <c r="X160" s="8">
        <f t="shared" si="8"/>
        <v>1095363</v>
      </c>
      <c r="Y160" s="8">
        <f t="shared" si="8"/>
        <v>1186544</v>
      </c>
      <c r="Z160" s="8">
        <f t="shared" si="8"/>
        <v>1364830</v>
      </c>
      <c r="AA160" s="8">
        <f t="shared" si="8"/>
        <v>1341380</v>
      </c>
      <c r="AB160" s="8">
        <f t="shared" si="8"/>
        <v>2243847</v>
      </c>
      <c r="AC160" s="8">
        <f t="shared" si="8"/>
        <v>2099929</v>
      </c>
      <c r="AD160" s="8">
        <f t="shared" si="8"/>
        <v>2010805</v>
      </c>
      <c r="AE160" s="8">
        <f t="shared" si="8"/>
        <v>587821</v>
      </c>
      <c r="AF160" s="8">
        <f t="shared" si="8"/>
        <v>1426080</v>
      </c>
      <c r="AG160" s="8">
        <f t="shared" si="8"/>
        <v>1410620</v>
      </c>
      <c r="AH160" s="8">
        <f t="shared" si="8"/>
        <v>1962380</v>
      </c>
      <c r="AI160" s="8">
        <f t="shared" si="8"/>
        <v>3113236</v>
      </c>
      <c r="AJ160" s="8">
        <f t="shared" si="8"/>
        <v>2059554</v>
      </c>
      <c r="AK160" s="8">
        <f t="shared" si="8"/>
        <v>2082023</v>
      </c>
      <c r="AL160" s="8">
        <f t="shared" si="8"/>
        <v>2222638</v>
      </c>
      <c r="AM160" s="8">
        <f t="shared" si="8"/>
        <v>2134618</v>
      </c>
      <c r="AN160" s="8">
        <f t="shared" si="8"/>
        <v>2283035</v>
      </c>
      <c r="AO160" s="8">
        <f t="shared" si="8"/>
        <v>2867790</v>
      </c>
      <c r="AP160" s="8">
        <f t="shared" si="8"/>
        <v>2735884</v>
      </c>
      <c r="AQ160" s="8">
        <f t="shared" si="8"/>
        <v>5200047</v>
      </c>
      <c r="AR160" s="8">
        <f t="shared" si="8"/>
        <v>1839177</v>
      </c>
      <c r="AS160" s="8">
        <f t="shared" si="8"/>
        <v>3827545</v>
      </c>
      <c r="AT160" s="8">
        <f t="shared" si="8"/>
        <v>0</v>
      </c>
      <c r="AU160" s="8">
        <f t="shared" si="8"/>
        <v>4119756</v>
      </c>
      <c r="AV160" s="8">
        <f t="shared" si="8"/>
        <v>5702864</v>
      </c>
      <c r="AW160" s="8">
        <f t="shared" si="8"/>
        <v>4550361</v>
      </c>
      <c r="AX160" s="40"/>
      <c r="AY160" s="8">
        <f>SUM(AY88:AY159)</f>
        <v>7808000</v>
      </c>
      <c r="AZ160" s="40"/>
      <c r="BA160" s="8">
        <f>SUM(BA88:BA159)</f>
        <v>7288752</v>
      </c>
      <c r="BB160" s="8">
        <f>SUM(BB88:BB159)</f>
        <v>8110640</v>
      </c>
      <c r="BC160" s="8"/>
      <c r="BD160" s="73"/>
      <c r="BE160" s="8">
        <f>SUM(BE88:BE159)</f>
        <v>13734421</v>
      </c>
      <c r="BF160" s="40"/>
      <c r="BG160" s="8">
        <f>SUM(BG88:BG159)</f>
        <v>19250000</v>
      </c>
    </row>
    <row r="161" spans="1:59" x14ac:dyDescent="0.25">
      <c r="A161" s="141"/>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c r="AY161" s="7"/>
      <c r="AZ161"/>
      <c r="BA161" s="7"/>
      <c r="BB161" s="7"/>
      <c r="BC161" s="7"/>
      <c r="BD161" s="72"/>
      <c r="BE161"/>
      <c r="BF161"/>
      <c r="BG161" s="7"/>
    </row>
    <row r="162" spans="1:59" x14ac:dyDescent="0.25">
      <c r="A162" s="141" t="s">
        <v>621</v>
      </c>
      <c r="B162" s="7">
        <f>B160</f>
        <v>548478</v>
      </c>
      <c r="C162" s="7">
        <f t="shared" ref="C162:BG162" si="9">C160</f>
        <v>1443946</v>
      </c>
      <c r="D162" s="7">
        <f t="shared" si="9"/>
        <v>1233441</v>
      </c>
      <c r="E162" s="7">
        <f t="shared" si="9"/>
        <v>616978</v>
      </c>
      <c r="F162" s="7">
        <f t="shared" si="9"/>
        <v>660788</v>
      </c>
      <c r="G162" s="7">
        <f t="shared" si="9"/>
        <v>744939</v>
      </c>
      <c r="H162" s="7">
        <f t="shared" si="9"/>
        <v>832840</v>
      </c>
      <c r="I162" s="7">
        <f t="shared" si="9"/>
        <v>611676</v>
      </c>
      <c r="J162" s="7">
        <f t="shared" si="9"/>
        <v>427032</v>
      </c>
      <c r="K162" s="7">
        <f t="shared" si="9"/>
        <v>1205876</v>
      </c>
      <c r="L162" s="7">
        <f t="shared" si="9"/>
        <v>0</v>
      </c>
      <c r="M162" s="7">
        <f t="shared" si="9"/>
        <v>0</v>
      </c>
      <c r="N162" s="7">
        <f t="shared" si="9"/>
        <v>0</v>
      </c>
      <c r="O162" s="7">
        <f t="shared" si="9"/>
        <v>0</v>
      </c>
      <c r="P162" s="7">
        <f t="shared" si="9"/>
        <v>207883</v>
      </c>
      <c r="Q162" s="7">
        <f t="shared" si="9"/>
        <v>1233018</v>
      </c>
      <c r="R162" s="7">
        <f t="shared" si="9"/>
        <v>986414.39999999991</v>
      </c>
      <c r="S162" s="7">
        <f t="shared" si="9"/>
        <v>775178</v>
      </c>
      <c r="T162" s="7">
        <f t="shared" si="9"/>
        <v>620142.4</v>
      </c>
      <c r="U162" s="7">
        <f t="shared" si="9"/>
        <v>771943</v>
      </c>
      <c r="V162" s="7">
        <f t="shared" si="9"/>
        <v>639390</v>
      </c>
      <c r="W162" s="7">
        <f t="shared" si="9"/>
        <v>643945</v>
      </c>
      <c r="X162" s="7">
        <f t="shared" si="9"/>
        <v>1095363</v>
      </c>
      <c r="Y162" s="7">
        <f t="shared" si="9"/>
        <v>1186544</v>
      </c>
      <c r="Z162" s="7">
        <f t="shared" si="9"/>
        <v>1364830</v>
      </c>
      <c r="AA162" s="7">
        <f t="shared" si="9"/>
        <v>1341380</v>
      </c>
      <c r="AB162" s="7">
        <f t="shared" si="9"/>
        <v>2243847</v>
      </c>
      <c r="AC162" s="7">
        <f t="shared" si="9"/>
        <v>2099929</v>
      </c>
      <c r="AD162" s="7">
        <f t="shared" si="9"/>
        <v>2010805</v>
      </c>
      <c r="AE162" s="7">
        <f t="shared" si="9"/>
        <v>587821</v>
      </c>
      <c r="AF162" s="7">
        <f t="shared" si="9"/>
        <v>1426080</v>
      </c>
      <c r="AG162" s="7">
        <f t="shared" si="9"/>
        <v>1410620</v>
      </c>
      <c r="AH162" s="7">
        <f t="shared" si="9"/>
        <v>1962380</v>
      </c>
      <c r="AI162" s="7">
        <f t="shared" si="9"/>
        <v>3113236</v>
      </c>
      <c r="AJ162" s="7">
        <f t="shared" si="9"/>
        <v>2059554</v>
      </c>
      <c r="AK162" s="7">
        <f t="shared" si="9"/>
        <v>2082023</v>
      </c>
      <c r="AL162" s="7">
        <f t="shared" si="9"/>
        <v>2222638</v>
      </c>
      <c r="AM162" s="7">
        <f t="shared" si="9"/>
        <v>2134618</v>
      </c>
      <c r="AN162" s="7">
        <f t="shared" si="9"/>
        <v>2283035</v>
      </c>
      <c r="AO162" s="7">
        <f t="shared" si="9"/>
        <v>2867790</v>
      </c>
      <c r="AP162" s="7">
        <f t="shared" si="9"/>
        <v>2735884</v>
      </c>
      <c r="AQ162" s="7">
        <f t="shared" si="9"/>
        <v>5200047</v>
      </c>
      <c r="AR162" s="7">
        <f t="shared" si="9"/>
        <v>1839177</v>
      </c>
      <c r="AS162" s="7">
        <f t="shared" si="9"/>
        <v>3827545</v>
      </c>
      <c r="AT162" s="7">
        <f t="shared" si="9"/>
        <v>0</v>
      </c>
      <c r="AU162" s="7">
        <f t="shared" si="9"/>
        <v>4119756</v>
      </c>
      <c r="AV162" s="7">
        <f t="shared" si="9"/>
        <v>5702864</v>
      </c>
      <c r="AW162" s="7">
        <f t="shared" si="9"/>
        <v>4550361</v>
      </c>
      <c r="AX162" s="7">
        <f t="shared" si="9"/>
        <v>0</v>
      </c>
      <c r="AY162" s="7">
        <f t="shared" si="9"/>
        <v>7808000</v>
      </c>
      <c r="AZ162" s="7">
        <f t="shared" si="9"/>
        <v>0</v>
      </c>
      <c r="BA162" s="7">
        <f t="shared" si="9"/>
        <v>7288752</v>
      </c>
      <c r="BB162" s="7">
        <f t="shared" si="9"/>
        <v>8110640</v>
      </c>
      <c r="BC162" s="7">
        <f t="shared" si="9"/>
        <v>0</v>
      </c>
      <c r="BD162" s="7">
        <f t="shared" si="9"/>
        <v>0</v>
      </c>
      <c r="BE162" s="7">
        <f t="shared" si="9"/>
        <v>13734421</v>
      </c>
      <c r="BF162" s="7">
        <f t="shared" si="9"/>
        <v>0</v>
      </c>
      <c r="BG162" s="7">
        <f t="shared" si="9"/>
        <v>19250000</v>
      </c>
    </row>
    <row r="163" spans="1:59" x14ac:dyDescent="0.25">
      <c r="A163" s="141"/>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row>
    <row r="164" spans="1:59" x14ac:dyDescent="0.25">
      <c r="A164" s="142" t="s">
        <v>622</v>
      </c>
      <c r="B164" s="7">
        <f t="shared" ref="B164:AG164" si="10">B75</f>
        <v>1619521</v>
      </c>
      <c r="C164" s="7">
        <f t="shared" si="10"/>
        <v>1830430</v>
      </c>
      <c r="D164" s="7">
        <f t="shared" si="10"/>
        <v>725781</v>
      </c>
      <c r="E164" s="7">
        <f t="shared" si="10"/>
        <v>215820</v>
      </c>
      <c r="F164" s="7">
        <f t="shared" si="10"/>
        <v>153650</v>
      </c>
      <c r="G164" s="7">
        <f t="shared" si="10"/>
        <v>742425</v>
      </c>
      <c r="H164" s="7">
        <f t="shared" si="10"/>
        <v>900252</v>
      </c>
      <c r="I164" s="7">
        <f t="shared" si="10"/>
        <v>399490</v>
      </c>
      <c r="J164" s="7">
        <f t="shared" si="10"/>
        <v>345224</v>
      </c>
      <c r="K164" s="7">
        <f t="shared" si="10"/>
        <v>621472</v>
      </c>
      <c r="L164" s="7">
        <f t="shared" si="10"/>
        <v>0</v>
      </c>
      <c r="M164" s="7">
        <f t="shared" si="10"/>
        <v>0</v>
      </c>
      <c r="N164" s="7">
        <f t="shared" si="10"/>
        <v>0</v>
      </c>
      <c r="O164" s="7">
        <f t="shared" si="10"/>
        <v>0</v>
      </c>
      <c r="P164" s="7">
        <f t="shared" si="10"/>
        <v>565530</v>
      </c>
      <c r="Q164" s="7">
        <f t="shared" si="10"/>
        <v>1374041</v>
      </c>
      <c r="R164" s="7">
        <f t="shared" si="10"/>
        <v>1099232.7999999998</v>
      </c>
      <c r="S164" s="7">
        <f t="shared" si="10"/>
        <v>1019668</v>
      </c>
      <c r="T164" s="7">
        <f t="shared" si="10"/>
        <v>815734.4</v>
      </c>
      <c r="U164" s="7">
        <f t="shared" si="10"/>
        <v>418945</v>
      </c>
      <c r="V164" s="7">
        <f t="shared" si="10"/>
        <v>706500</v>
      </c>
      <c r="W164" s="7">
        <f t="shared" si="10"/>
        <v>868170</v>
      </c>
      <c r="X164" s="7">
        <f t="shared" si="10"/>
        <v>878820</v>
      </c>
      <c r="Y164" s="7">
        <f t="shared" si="10"/>
        <v>1185490</v>
      </c>
      <c r="Z164" s="7">
        <f t="shared" si="10"/>
        <v>1167280</v>
      </c>
      <c r="AA164" s="7">
        <f t="shared" si="10"/>
        <v>1472241</v>
      </c>
      <c r="AB164" s="7">
        <f t="shared" si="10"/>
        <v>2053933</v>
      </c>
      <c r="AC164" s="7">
        <f t="shared" si="10"/>
        <v>1450160</v>
      </c>
      <c r="AD164" s="7">
        <f t="shared" si="10"/>
        <v>1576330</v>
      </c>
      <c r="AE164" s="7">
        <f t="shared" si="10"/>
        <v>744722</v>
      </c>
      <c r="AF164" s="7">
        <f t="shared" si="10"/>
        <v>1400214</v>
      </c>
      <c r="AG164" s="7">
        <f t="shared" si="10"/>
        <v>1806972</v>
      </c>
      <c r="AH164" s="7">
        <f t="shared" ref="AH164:BG164" si="11">AH75</f>
        <v>1962380</v>
      </c>
      <c r="AI164" s="7">
        <f t="shared" si="11"/>
        <v>2636705</v>
      </c>
      <c r="AJ164" s="7">
        <f t="shared" si="11"/>
        <v>1677100</v>
      </c>
      <c r="AK164" s="7">
        <f t="shared" si="11"/>
        <v>1994680</v>
      </c>
      <c r="AL164" s="7">
        <f t="shared" si="11"/>
        <v>2831670</v>
      </c>
      <c r="AM164" s="7">
        <f t="shared" si="11"/>
        <v>3345918</v>
      </c>
      <c r="AN164" s="7">
        <f t="shared" si="11"/>
        <v>1720810</v>
      </c>
      <c r="AO164" s="7">
        <f t="shared" si="11"/>
        <v>3721491</v>
      </c>
      <c r="AP164" s="7">
        <f t="shared" si="11"/>
        <v>3309931</v>
      </c>
      <c r="AQ164" s="7">
        <f t="shared" si="11"/>
        <v>6727316</v>
      </c>
      <c r="AR164" s="7">
        <f t="shared" si="11"/>
        <v>3506573</v>
      </c>
      <c r="AS164" s="7">
        <f t="shared" si="11"/>
        <v>4500982</v>
      </c>
      <c r="AT164" s="7">
        <f t="shared" si="11"/>
        <v>4142768</v>
      </c>
      <c r="AU164" s="7">
        <f t="shared" si="11"/>
        <v>4693660</v>
      </c>
      <c r="AV164" s="7">
        <f t="shared" si="11"/>
        <v>5016660</v>
      </c>
      <c r="AW164" s="7">
        <f t="shared" si="11"/>
        <v>4743120</v>
      </c>
      <c r="AX164" s="7">
        <f t="shared" si="11"/>
        <v>0</v>
      </c>
      <c r="AY164" s="7">
        <f t="shared" si="11"/>
        <v>7119360</v>
      </c>
      <c r="AZ164" s="7">
        <f t="shared" si="11"/>
        <v>0</v>
      </c>
      <c r="BA164" s="7">
        <f t="shared" si="11"/>
        <v>6104200</v>
      </c>
      <c r="BB164" s="7">
        <f t="shared" si="11"/>
        <v>8110640</v>
      </c>
      <c r="BC164" s="7">
        <f t="shared" si="11"/>
        <v>0</v>
      </c>
      <c r="BD164" s="7">
        <f t="shared" si="11"/>
        <v>0</v>
      </c>
      <c r="BE164" s="7">
        <f t="shared" si="11"/>
        <v>12942889</v>
      </c>
      <c r="BF164" s="7">
        <f t="shared" si="11"/>
        <v>0</v>
      </c>
      <c r="BG164" s="7">
        <f t="shared" si="11"/>
        <v>19250000</v>
      </c>
    </row>
    <row r="165" spans="1:59" x14ac:dyDescent="0.25">
      <c r="A165" s="141"/>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row>
    <row r="166" spans="1:59" x14ac:dyDescent="0.25">
      <c r="A166" s="141" t="s">
        <v>623</v>
      </c>
      <c r="B166" s="46">
        <f>B164-B162</f>
        <v>1071043</v>
      </c>
      <c r="C166" s="46">
        <f t="shared" ref="C166:BG166" si="12">C164-C162</f>
        <v>386484</v>
      </c>
      <c r="D166" s="46">
        <f t="shared" si="12"/>
        <v>-507660</v>
      </c>
      <c r="E166" s="46">
        <f t="shared" si="12"/>
        <v>-401158</v>
      </c>
      <c r="F166" s="46">
        <f t="shared" si="12"/>
        <v>-507138</v>
      </c>
      <c r="G166" s="46">
        <f t="shared" si="12"/>
        <v>-2514</v>
      </c>
      <c r="H166" s="46">
        <f t="shared" si="12"/>
        <v>67412</v>
      </c>
      <c r="I166" s="46">
        <f t="shared" si="12"/>
        <v>-212186</v>
      </c>
      <c r="J166" s="46">
        <f t="shared" si="12"/>
        <v>-81808</v>
      </c>
      <c r="K166" s="46">
        <f t="shared" si="12"/>
        <v>-584404</v>
      </c>
      <c r="L166" s="46">
        <f t="shared" si="12"/>
        <v>0</v>
      </c>
      <c r="M166" s="46">
        <f t="shared" si="12"/>
        <v>0</v>
      </c>
      <c r="N166" s="46">
        <f t="shared" si="12"/>
        <v>0</v>
      </c>
      <c r="O166" s="46">
        <f t="shared" si="12"/>
        <v>0</v>
      </c>
      <c r="P166" s="46">
        <f t="shared" si="12"/>
        <v>357647</v>
      </c>
      <c r="Q166" s="46">
        <f t="shared" si="12"/>
        <v>141023</v>
      </c>
      <c r="R166" s="46">
        <f t="shared" si="12"/>
        <v>112818.39999999991</v>
      </c>
      <c r="S166" s="46">
        <f t="shared" si="12"/>
        <v>244490</v>
      </c>
      <c r="T166" s="46">
        <f t="shared" si="12"/>
        <v>195592</v>
      </c>
      <c r="U166" s="46">
        <f t="shared" si="12"/>
        <v>-352998</v>
      </c>
      <c r="V166" s="46">
        <f t="shared" si="12"/>
        <v>67110</v>
      </c>
      <c r="W166" s="46">
        <f t="shared" si="12"/>
        <v>224225</v>
      </c>
      <c r="X166" s="46">
        <f t="shared" si="12"/>
        <v>-216543</v>
      </c>
      <c r="Y166" s="46">
        <f t="shared" si="12"/>
        <v>-1054</v>
      </c>
      <c r="Z166" s="46">
        <f t="shared" si="12"/>
        <v>-197550</v>
      </c>
      <c r="AA166" s="46">
        <f t="shared" si="12"/>
        <v>130861</v>
      </c>
      <c r="AB166" s="46">
        <f t="shared" si="12"/>
        <v>-189914</v>
      </c>
      <c r="AC166" s="46">
        <f t="shared" si="12"/>
        <v>-649769</v>
      </c>
      <c r="AD166" s="46">
        <f t="shared" si="12"/>
        <v>-434475</v>
      </c>
      <c r="AE166" s="46">
        <f t="shared" si="12"/>
        <v>156901</v>
      </c>
      <c r="AF166" s="46">
        <f t="shared" si="12"/>
        <v>-25866</v>
      </c>
      <c r="AG166" s="46">
        <f t="shared" si="12"/>
        <v>396352</v>
      </c>
      <c r="AH166" s="46">
        <f t="shared" si="12"/>
        <v>0</v>
      </c>
      <c r="AI166" s="46">
        <f t="shared" si="12"/>
        <v>-476531</v>
      </c>
      <c r="AJ166" s="46">
        <f t="shared" si="12"/>
        <v>-382454</v>
      </c>
      <c r="AK166" s="46">
        <f t="shared" si="12"/>
        <v>-87343</v>
      </c>
      <c r="AL166" s="46">
        <f t="shared" si="12"/>
        <v>609032</v>
      </c>
      <c r="AM166" s="46">
        <f t="shared" si="12"/>
        <v>1211300</v>
      </c>
      <c r="AN166" s="46">
        <f t="shared" si="12"/>
        <v>-562225</v>
      </c>
      <c r="AO166" s="46">
        <f t="shared" si="12"/>
        <v>853701</v>
      </c>
      <c r="AP166" s="46">
        <f t="shared" si="12"/>
        <v>574047</v>
      </c>
      <c r="AQ166" s="46">
        <f t="shared" si="12"/>
        <v>1527269</v>
      </c>
      <c r="AR166" s="46">
        <f t="shared" si="12"/>
        <v>1667396</v>
      </c>
      <c r="AS166" s="46">
        <f t="shared" si="12"/>
        <v>673437</v>
      </c>
      <c r="AT166" s="46">
        <f t="shared" si="12"/>
        <v>4142768</v>
      </c>
      <c r="AU166" s="46">
        <f t="shared" si="12"/>
        <v>573904</v>
      </c>
      <c r="AV166" s="46">
        <f t="shared" si="12"/>
        <v>-686204</v>
      </c>
      <c r="AW166" s="46">
        <f t="shared" si="12"/>
        <v>192759</v>
      </c>
      <c r="AX166" s="46">
        <f t="shared" si="12"/>
        <v>0</v>
      </c>
      <c r="AY166" s="46">
        <f t="shared" si="12"/>
        <v>-688640</v>
      </c>
      <c r="AZ166" s="46">
        <f t="shared" si="12"/>
        <v>0</v>
      </c>
      <c r="BA166" s="46">
        <f t="shared" si="12"/>
        <v>-1184552</v>
      </c>
      <c r="BB166" s="46">
        <f t="shared" si="12"/>
        <v>0</v>
      </c>
      <c r="BC166" s="46">
        <f t="shared" si="12"/>
        <v>0</v>
      </c>
      <c r="BD166" s="46">
        <f t="shared" si="12"/>
        <v>0</v>
      </c>
      <c r="BE166" s="46">
        <f t="shared" si="12"/>
        <v>-791532</v>
      </c>
      <c r="BF166" s="46">
        <f t="shared" si="12"/>
        <v>0</v>
      </c>
      <c r="BG166" s="46">
        <f t="shared" si="12"/>
        <v>0</v>
      </c>
    </row>
    <row r="167" spans="1:59" x14ac:dyDescent="0.25">
      <c r="A167" s="141"/>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c r="AW167" s="7"/>
      <c r="AX167"/>
      <c r="AY167" s="7"/>
      <c r="AZ167"/>
      <c r="BA167" s="7"/>
      <c r="BB167" s="7"/>
      <c r="BC167" s="7"/>
      <c r="BD167" s="72"/>
      <c r="BE167"/>
      <c r="BF167"/>
      <c r="BG167" s="7"/>
    </row>
    <row r="168" spans="1:59" x14ac:dyDescent="0.25">
      <c r="A168" s="141"/>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c r="AW168" s="7"/>
      <c r="AX168"/>
      <c r="AY168" s="7"/>
      <c r="AZ168"/>
      <c r="BA168" s="7"/>
      <c r="BB168" s="7"/>
      <c r="BC168" s="7"/>
      <c r="BD168" s="72"/>
      <c r="BE168"/>
      <c r="BF168"/>
      <c r="BG168" s="7"/>
    </row>
    <row r="169" spans="1:59" x14ac:dyDescent="0.25">
      <c r="A169" s="91"/>
      <c r="B169" s="7"/>
      <c r="C169" s="7"/>
      <c r="D169" s="74"/>
      <c r="E169" s="74"/>
      <c r="F169" s="74"/>
      <c r="G169" s="74"/>
      <c r="H169" s="74"/>
      <c r="I169" s="74"/>
      <c r="J169" s="74"/>
      <c r="K169" s="74"/>
      <c r="L169" s="74"/>
      <c r="M169" s="74"/>
      <c r="N169" s="74"/>
      <c r="O169" s="74"/>
      <c r="P169" s="74"/>
      <c r="Q169" s="74"/>
      <c r="R169" s="74"/>
      <c r="S169" s="74"/>
      <c r="T169" s="8"/>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c r="AW169" s="7"/>
      <c r="AX169"/>
      <c r="AY169" s="7"/>
      <c r="AZ169"/>
      <c r="BA169" s="7"/>
      <c r="BB169" s="7"/>
      <c r="BC169" s="7"/>
      <c r="BD169" s="72"/>
      <c r="BE169"/>
      <c r="BF169"/>
      <c r="BG169" s="7"/>
    </row>
    <row r="170" spans="1:59" x14ac:dyDescent="0.25">
      <c r="A170" s="134"/>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c r="AW170"/>
      <c r="AX170"/>
      <c r="AY170"/>
      <c r="AZ170"/>
      <c r="BA170"/>
      <c r="BB170"/>
      <c r="BC170"/>
      <c r="BD170" s="72"/>
      <c r="BE170"/>
      <c r="BF170"/>
      <c r="BG170"/>
    </row>
    <row r="171" spans="1:59" x14ac:dyDescent="0.25">
      <c r="A171" s="143"/>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row>
    <row r="172" spans="1:59" x14ac:dyDescent="0.25">
      <c r="A172" s="143"/>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row>
    <row r="173" spans="1:59" x14ac:dyDescent="0.25">
      <c r="A173" s="143"/>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row>
    <row r="174" spans="1:59" x14ac:dyDescent="0.25">
      <c r="A174" s="143"/>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row>
    <row r="175" spans="1:59" x14ac:dyDescent="0.25">
      <c r="A175" s="143"/>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row>
    <row r="176" spans="1:59" x14ac:dyDescent="0.25">
      <c r="A176" s="143"/>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row>
    <row r="177" spans="1:59" x14ac:dyDescent="0.25">
      <c r="A177" s="143"/>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row>
    <row r="178" spans="1:59" x14ac:dyDescent="0.25">
      <c r="A178" s="143"/>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row>
    <row r="179" spans="1:59" x14ac:dyDescent="0.25">
      <c r="A179" s="143"/>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row>
    <row r="180" spans="1:59" x14ac:dyDescent="0.25">
      <c r="A180" s="144"/>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row>
    <row r="181" spans="1:59" x14ac:dyDescent="0.25">
      <c r="A181" s="143"/>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row>
    <row r="182" spans="1:59" x14ac:dyDescent="0.25">
      <c r="A182" s="8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c r="AW182"/>
      <c r="AX182"/>
      <c r="AY182"/>
      <c r="AZ182"/>
      <c r="BA182"/>
      <c r="BB182" s="7"/>
      <c r="BC182" s="7"/>
      <c r="BD182" s="72"/>
      <c r="BE182"/>
      <c r="BF182"/>
      <c r="BG182"/>
    </row>
    <row r="183" spans="1:59" x14ac:dyDescent="0.25">
      <c r="A183" s="143"/>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row>
  </sheetData>
  <sortState ref="A89:BG106">
    <sortCondition ref="A89:A106"/>
  </sortState>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12"/>
  <sheetViews>
    <sheetView showZeros="0" workbookViewId="0">
      <pane xSplit="1" ySplit="7" topLeftCell="B8" activePane="bottomRight" state="frozen"/>
      <selection pane="topRight" activeCell="B1" sqref="B1"/>
      <selection pane="bottomLeft" activeCell="A8" sqref="A8"/>
      <selection pane="bottomRight" activeCell="B8" sqref="B8"/>
    </sheetView>
  </sheetViews>
  <sheetFormatPr defaultRowHeight="15" x14ac:dyDescent="0.25"/>
  <cols>
    <col min="1" max="1" width="70.7109375" style="83" customWidth="1"/>
    <col min="2" max="4" width="20.7109375" style="14" customWidth="1"/>
    <col min="5" max="5" width="10.7109375" style="14" customWidth="1"/>
    <col min="6" max="10" width="20.7109375" style="14" customWidth="1"/>
    <col min="11" max="16384" width="9.140625" style="14"/>
  </cols>
  <sheetData>
    <row r="1" spans="1:10" x14ac:dyDescent="0.25">
      <c r="A1" s="78" t="s">
        <v>87</v>
      </c>
    </row>
    <row r="2" spans="1:10" x14ac:dyDescent="0.25">
      <c r="A2" s="79" t="s">
        <v>671</v>
      </c>
      <c r="B2" s="23" t="s">
        <v>1152</v>
      </c>
      <c r="C2" s="23" t="s">
        <v>196</v>
      </c>
      <c r="D2" s="22" t="s">
        <v>1153</v>
      </c>
      <c r="E2" s="23"/>
      <c r="F2" s="23" t="s">
        <v>196</v>
      </c>
      <c r="G2" s="22" t="s">
        <v>1154</v>
      </c>
      <c r="H2" s="22" t="s">
        <v>1155</v>
      </c>
      <c r="I2" s="22" t="s">
        <v>1156</v>
      </c>
      <c r="J2" s="22" t="s">
        <v>1157</v>
      </c>
    </row>
    <row r="3" spans="1:10" x14ac:dyDescent="0.25">
      <c r="A3" s="79" t="s">
        <v>672</v>
      </c>
      <c r="B3" s="23" t="s">
        <v>1311</v>
      </c>
      <c r="C3" s="23" t="s">
        <v>1312</v>
      </c>
      <c r="D3" s="22" t="s">
        <v>1313</v>
      </c>
      <c r="E3" s="23"/>
      <c r="F3" s="23" t="s">
        <v>1312</v>
      </c>
      <c r="G3" s="22" t="s">
        <v>1314</v>
      </c>
      <c r="H3" s="22" t="s">
        <v>1315</v>
      </c>
      <c r="I3" s="22" t="s">
        <v>1316</v>
      </c>
      <c r="J3" s="22" t="s">
        <v>1317</v>
      </c>
    </row>
    <row r="4" spans="1:10" x14ac:dyDescent="0.25">
      <c r="A4" s="80" t="s">
        <v>85</v>
      </c>
      <c r="B4" s="25" t="s">
        <v>23</v>
      </c>
      <c r="C4" s="25" t="s">
        <v>23</v>
      </c>
      <c r="D4" s="24" t="s">
        <v>24</v>
      </c>
      <c r="E4" s="25">
        <v>81</v>
      </c>
      <c r="F4" s="25" t="s">
        <v>26</v>
      </c>
      <c r="G4" s="24" t="s">
        <v>27</v>
      </c>
      <c r="H4" s="24" t="s">
        <v>28</v>
      </c>
      <c r="I4" s="24" t="s">
        <v>29</v>
      </c>
      <c r="J4" s="24" t="s">
        <v>30</v>
      </c>
    </row>
    <row r="5" spans="1:10" x14ac:dyDescent="0.25">
      <c r="A5" s="81" t="s">
        <v>86</v>
      </c>
      <c r="B5" s="23" t="s">
        <v>661</v>
      </c>
      <c r="C5" s="22" t="s">
        <v>662</v>
      </c>
      <c r="D5" s="22" t="s">
        <v>663</v>
      </c>
      <c r="E5" s="23"/>
      <c r="F5" s="22" t="s">
        <v>662</v>
      </c>
      <c r="G5" s="22" t="s">
        <v>664</v>
      </c>
      <c r="H5" s="22" t="s">
        <v>665</v>
      </c>
      <c r="I5" s="22" t="s">
        <v>666</v>
      </c>
      <c r="J5" s="22" t="s">
        <v>667</v>
      </c>
    </row>
    <row r="6" spans="1:10" x14ac:dyDescent="0.25">
      <c r="A6" s="79" t="s">
        <v>84</v>
      </c>
      <c r="B6" s="93" t="s">
        <v>71</v>
      </c>
      <c r="C6" s="22" t="s">
        <v>70</v>
      </c>
      <c r="D6" s="93" t="s">
        <v>71</v>
      </c>
      <c r="E6" s="23"/>
      <c r="F6" s="93" t="s">
        <v>71</v>
      </c>
      <c r="G6" s="93" t="s">
        <v>71</v>
      </c>
      <c r="H6" s="93" t="s">
        <v>71</v>
      </c>
      <c r="I6" s="93" t="s">
        <v>71</v>
      </c>
      <c r="J6" s="93" t="s">
        <v>71</v>
      </c>
    </row>
    <row r="7" spans="1:10" x14ac:dyDescent="0.25">
      <c r="A7" s="98"/>
      <c r="B7" s="27"/>
      <c r="C7" s="27"/>
      <c r="D7" s="27"/>
      <c r="E7" s="27"/>
      <c r="F7" s="27"/>
      <c r="G7" s="27"/>
      <c r="H7" s="29"/>
      <c r="I7" s="13"/>
      <c r="J7" s="13"/>
    </row>
    <row r="8" spans="1:10" x14ac:dyDescent="0.25">
      <c r="A8" s="82"/>
      <c r="B8" s="13"/>
      <c r="C8" s="13"/>
      <c r="D8" s="13"/>
      <c r="E8" s="13"/>
      <c r="F8" s="13"/>
      <c r="G8" s="13"/>
      <c r="H8" s="13"/>
      <c r="I8" s="13"/>
      <c r="J8" s="13"/>
    </row>
    <row r="9" spans="1:10" x14ac:dyDescent="0.25">
      <c r="A9" s="80" t="s">
        <v>674</v>
      </c>
      <c r="B9" s="23"/>
      <c r="C9" s="23"/>
      <c r="D9" s="23"/>
      <c r="E9" s="23"/>
      <c r="F9" s="23"/>
      <c r="G9" s="23"/>
      <c r="H9" s="13"/>
      <c r="I9" s="13"/>
      <c r="J9" s="13"/>
    </row>
    <row r="10" spans="1:10" x14ac:dyDescent="0.25">
      <c r="A10" s="75" t="s">
        <v>139</v>
      </c>
      <c r="B10" s="18"/>
      <c r="C10" s="18"/>
      <c r="D10" s="18"/>
      <c r="E10" s="18"/>
      <c r="F10" s="18"/>
      <c r="G10" s="18"/>
      <c r="H10" s="13"/>
      <c r="I10" s="13">
        <v>16000</v>
      </c>
      <c r="J10" s="13">
        <v>24000</v>
      </c>
    </row>
    <row r="11" spans="1:10" ht="15.75" x14ac:dyDescent="0.25">
      <c r="A11" s="146" t="s">
        <v>140</v>
      </c>
      <c r="B11" s="18"/>
      <c r="C11" s="18"/>
      <c r="D11" s="18"/>
      <c r="E11" s="18"/>
      <c r="F11" s="18"/>
      <c r="G11" s="18"/>
      <c r="H11" s="13"/>
      <c r="I11" s="13">
        <v>200000</v>
      </c>
      <c r="J11" s="13"/>
    </row>
    <row r="12" spans="1:10" x14ac:dyDescent="0.25">
      <c r="A12" s="140" t="s">
        <v>112</v>
      </c>
      <c r="B12" s="18">
        <v>200000</v>
      </c>
      <c r="C12" s="18">
        <v>174000</v>
      </c>
      <c r="D12" s="18">
        <v>200000</v>
      </c>
      <c r="E12" s="18"/>
      <c r="F12" s="18">
        <v>200000</v>
      </c>
      <c r="G12" s="18">
        <v>300000</v>
      </c>
      <c r="H12" s="13">
        <v>200000</v>
      </c>
      <c r="I12" s="13">
        <v>1120000</v>
      </c>
      <c r="J12" s="13">
        <v>200000</v>
      </c>
    </row>
    <row r="13" spans="1:10" ht="30" x14ac:dyDescent="0.25">
      <c r="A13" s="35" t="s">
        <v>774</v>
      </c>
      <c r="B13" s="18">
        <v>500000</v>
      </c>
      <c r="C13" s="18"/>
      <c r="D13" s="18">
        <v>500000</v>
      </c>
      <c r="E13" s="18"/>
      <c r="F13" s="18">
        <v>800000</v>
      </c>
      <c r="G13" s="18">
        <v>1000000</v>
      </c>
      <c r="H13" s="13">
        <v>1385000</v>
      </c>
      <c r="I13" s="13"/>
      <c r="J13" s="13">
        <v>3000000</v>
      </c>
    </row>
    <row r="14" spans="1:10" x14ac:dyDescent="0.25">
      <c r="A14" s="34" t="s">
        <v>675</v>
      </c>
      <c r="B14" s="18">
        <v>100000</v>
      </c>
      <c r="C14" s="18">
        <f>20000+37500</f>
        <v>57500</v>
      </c>
      <c r="D14" s="18">
        <v>100000</v>
      </c>
      <c r="E14" s="18"/>
      <c r="F14" s="18">
        <v>100000</v>
      </c>
      <c r="G14" s="18">
        <v>100000</v>
      </c>
      <c r="H14" s="13">
        <v>90000</v>
      </c>
      <c r="I14" s="13"/>
      <c r="J14" s="13">
        <v>189000</v>
      </c>
    </row>
    <row r="15" spans="1:10" x14ac:dyDescent="0.25">
      <c r="A15" s="34" t="s">
        <v>1012</v>
      </c>
      <c r="B15" s="18">
        <v>80000</v>
      </c>
      <c r="C15" s="18"/>
      <c r="D15" s="18">
        <v>80000</v>
      </c>
      <c r="E15" s="18"/>
      <c r="F15" s="18"/>
      <c r="G15" s="18"/>
      <c r="H15" s="13"/>
      <c r="I15" s="13">
        <v>250000</v>
      </c>
      <c r="J15" s="13"/>
    </row>
    <row r="16" spans="1:10" x14ac:dyDescent="0.25">
      <c r="A16" s="34" t="s">
        <v>676</v>
      </c>
      <c r="B16" s="18"/>
      <c r="C16" s="18">
        <v>80000</v>
      </c>
      <c r="D16" s="18"/>
      <c r="E16" s="18"/>
      <c r="F16" s="18"/>
      <c r="G16" s="18"/>
      <c r="H16" s="13"/>
      <c r="I16" s="13"/>
      <c r="J16" s="13"/>
    </row>
    <row r="17" spans="1:10" x14ac:dyDescent="0.25">
      <c r="A17" s="34" t="s">
        <v>1013</v>
      </c>
      <c r="B17" s="18"/>
      <c r="C17" s="18"/>
      <c r="D17" s="18"/>
      <c r="E17" s="18"/>
      <c r="F17" s="18"/>
      <c r="G17" s="18"/>
      <c r="H17" s="13"/>
      <c r="I17" s="13">
        <v>800000</v>
      </c>
      <c r="J17" s="13">
        <v>1200000</v>
      </c>
    </row>
    <row r="18" spans="1:10" x14ac:dyDescent="0.25">
      <c r="A18" s="34" t="s">
        <v>1014</v>
      </c>
      <c r="B18" s="18"/>
      <c r="C18" s="18">
        <v>30000</v>
      </c>
      <c r="D18" s="18"/>
      <c r="E18" s="18"/>
      <c r="F18" s="18"/>
      <c r="G18" s="18"/>
      <c r="H18" s="13"/>
      <c r="I18" s="13"/>
      <c r="J18" s="13"/>
    </row>
    <row r="19" spans="1:10" x14ac:dyDescent="0.25">
      <c r="A19" s="34" t="s">
        <v>1015</v>
      </c>
      <c r="B19" s="18"/>
      <c r="C19" s="18"/>
      <c r="D19" s="18"/>
      <c r="E19" s="18"/>
      <c r="F19" s="18">
        <v>150000</v>
      </c>
      <c r="G19" s="18">
        <v>180000</v>
      </c>
      <c r="H19" s="13">
        <v>138000</v>
      </c>
      <c r="I19" s="13"/>
      <c r="J19" s="13"/>
    </row>
    <row r="20" spans="1:10" x14ac:dyDescent="0.25">
      <c r="A20" s="34" t="s">
        <v>1016</v>
      </c>
      <c r="B20" s="18">
        <v>80000</v>
      </c>
      <c r="C20" s="18">
        <v>153000</v>
      </c>
      <c r="D20" s="18">
        <v>80000</v>
      </c>
      <c r="E20" s="18"/>
      <c r="F20" s="18"/>
      <c r="G20" s="18"/>
      <c r="H20" s="13"/>
      <c r="I20" s="13"/>
      <c r="J20" s="13"/>
    </row>
    <row r="21" spans="1:10" x14ac:dyDescent="0.25">
      <c r="A21" s="34" t="s">
        <v>1017</v>
      </c>
      <c r="B21" s="18"/>
      <c r="C21" s="18"/>
      <c r="D21" s="18"/>
      <c r="E21" s="18"/>
      <c r="F21" s="18"/>
      <c r="G21" s="18"/>
      <c r="H21" s="13"/>
      <c r="I21" s="13"/>
      <c r="J21" s="13">
        <v>300000</v>
      </c>
    </row>
    <row r="22" spans="1:10" x14ac:dyDescent="0.25">
      <c r="A22" s="34" t="s">
        <v>1018</v>
      </c>
      <c r="B22" s="18"/>
      <c r="C22" s="18"/>
      <c r="D22" s="18"/>
      <c r="E22" s="18"/>
      <c r="F22" s="18"/>
      <c r="G22" s="18"/>
      <c r="H22" s="13"/>
      <c r="I22" s="13">
        <v>400000</v>
      </c>
      <c r="J22" s="13"/>
    </row>
    <row r="23" spans="1:10" x14ac:dyDescent="0.25">
      <c r="A23" s="145" t="s">
        <v>1373</v>
      </c>
      <c r="B23" s="18">
        <v>40000</v>
      </c>
      <c r="C23" s="18"/>
      <c r="D23" s="18">
        <v>50000</v>
      </c>
      <c r="E23" s="18"/>
      <c r="F23" s="18">
        <v>50000</v>
      </c>
      <c r="G23" s="18"/>
      <c r="H23" s="13"/>
      <c r="I23" s="13"/>
      <c r="J23" s="13"/>
    </row>
    <row r="24" spans="1:10" x14ac:dyDescent="0.25">
      <c r="A24" s="35" t="s">
        <v>1019</v>
      </c>
      <c r="B24" s="18"/>
      <c r="C24" s="18"/>
      <c r="D24" s="18"/>
      <c r="E24" s="18"/>
      <c r="F24" s="18"/>
      <c r="G24" s="18"/>
      <c r="H24" s="13"/>
      <c r="I24" s="13">
        <v>190000</v>
      </c>
      <c r="J24" s="13"/>
    </row>
    <row r="25" spans="1:10" x14ac:dyDescent="0.25">
      <c r="A25" s="35" t="s">
        <v>677</v>
      </c>
      <c r="B25" s="18"/>
      <c r="C25" s="18">
        <v>40000</v>
      </c>
      <c r="D25" s="18"/>
      <c r="E25" s="18"/>
      <c r="F25" s="18"/>
      <c r="G25" s="18"/>
      <c r="H25" s="13"/>
      <c r="I25" s="13"/>
      <c r="J25" s="13"/>
    </row>
    <row r="26" spans="1:10" x14ac:dyDescent="0.25">
      <c r="A26" s="34" t="s">
        <v>678</v>
      </c>
      <c r="B26" s="18"/>
      <c r="C26" s="18"/>
      <c r="D26" s="18"/>
      <c r="E26" s="18"/>
      <c r="F26" s="18"/>
      <c r="G26" s="18"/>
      <c r="H26" s="13"/>
      <c r="I26" s="13">
        <v>120000</v>
      </c>
      <c r="J26" s="13"/>
    </row>
    <row r="27" spans="1:10" x14ac:dyDescent="0.25">
      <c r="A27" s="34" t="s">
        <v>1020</v>
      </c>
      <c r="B27" s="18"/>
      <c r="C27" s="18"/>
      <c r="D27" s="18"/>
      <c r="E27" s="18"/>
      <c r="F27" s="18"/>
      <c r="G27" s="18"/>
      <c r="H27" s="13"/>
      <c r="I27" s="13"/>
      <c r="J27" s="13">
        <v>250000</v>
      </c>
    </row>
    <row r="28" spans="1:10" x14ac:dyDescent="0.25">
      <c r="A28" s="140" t="s">
        <v>602</v>
      </c>
      <c r="B28" s="18"/>
      <c r="C28" s="18"/>
      <c r="D28" s="18"/>
      <c r="E28" s="18"/>
      <c r="F28" s="18"/>
      <c r="G28" s="18"/>
      <c r="H28" s="13">
        <v>50000</v>
      </c>
      <c r="I28" s="13"/>
      <c r="J28" s="13">
        <v>50000</v>
      </c>
    </row>
    <row r="29" spans="1:10" x14ac:dyDescent="0.25">
      <c r="A29" s="34" t="s">
        <v>679</v>
      </c>
      <c r="B29" s="18"/>
      <c r="C29" s="18"/>
      <c r="D29" s="18"/>
      <c r="E29" s="18"/>
      <c r="F29" s="18"/>
      <c r="G29" s="18"/>
      <c r="H29" s="13"/>
      <c r="I29" s="13"/>
      <c r="J29" s="13"/>
    </row>
    <row r="30" spans="1:10" x14ac:dyDescent="0.25">
      <c r="A30" s="34" t="s">
        <v>1021</v>
      </c>
      <c r="B30" s="18"/>
      <c r="C30" s="18"/>
      <c r="D30" s="18"/>
      <c r="E30" s="18"/>
      <c r="F30" s="18"/>
      <c r="G30" s="18"/>
      <c r="H30" s="13"/>
      <c r="I30" s="13">
        <v>3160000</v>
      </c>
      <c r="J30" s="13"/>
    </row>
    <row r="31" spans="1:10" x14ac:dyDescent="0.25">
      <c r="A31" s="140" t="s">
        <v>113</v>
      </c>
      <c r="B31" s="18"/>
      <c r="C31" s="18">
        <v>166400</v>
      </c>
      <c r="D31" s="18"/>
      <c r="E31" s="18"/>
      <c r="F31" s="18">
        <v>150000</v>
      </c>
      <c r="G31" s="18">
        <v>150000</v>
      </c>
      <c r="H31" s="13">
        <v>240000</v>
      </c>
      <c r="I31" s="13"/>
      <c r="J31" s="13">
        <v>300000</v>
      </c>
    </row>
    <row r="32" spans="1:10" x14ac:dyDescent="0.25">
      <c r="A32" s="140" t="s">
        <v>680</v>
      </c>
      <c r="B32" s="18"/>
      <c r="C32" s="18">
        <v>40000</v>
      </c>
      <c r="D32" s="18"/>
      <c r="E32" s="18"/>
      <c r="F32" s="18"/>
      <c r="G32" s="18"/>
      <c r="H32" s="13"/>
      <c r="I32" s="13"/>
      <c r="J32" s="13"/>
    </row>
    <row r="33" spans="1:10" x14ac:dyDescent="0.25">
      <c r="A33" s="34" t="s">
        <v>432</v>
      </c>
      <c r="B33" s="18"/>
      <c r="C33" s="18">
        <v>15000</v>
      </c>
      <c r="D33" s="18"/>
      <c r="E33" s="18"/>
      <c r="F33" s="18"/>
      <c r="G33" s="18"/>
      <c r="H33" s="13"/>
      <c r="I33" s="13">
        <v>30000</v>
      </c>
      <c r="J33" s="13"/>
    </row>
    <row r="34" spans="1:10" x14ac:dyDescent="0.25">
      <c r="A34" s="34" t="s">
        <v>286</v>
      </c>
      <c r="B34" s="18">
        <v>30000</v>
      </c>
      <c r="C34" s="18">
        <v>45000</v>
      </c>
      <c r="D34" s="18">
        <v>30000</v>
      </c>
      <c r="E34" s="18"/>
      <c r="F34" s="18">
        <v>30000</v>
      </c>
      <c r="G34" s="18">
        <v>30000</v>
      </c>
      <c r="H34" s="13">
        <v>50000</v>
      </c>
      <c r="I34" s="13">
        <v>50000</v>
      </c>
      <c r="J34" s="13">
        <v>20000</v>
      </c>
    </row>
    <row r="35" spans="1:10" x14ac:dyDescent="0.25">
      <c r="A35" s="153" t="s">
        <v>668</v>
      </c>
      <c r="B35" s="18"/>
      <c r="C35" s="18"/>
      <c r="D35" s="18"/>
      <c r="E35" s="18"/>
      <c r="F35" s="18"/>
      <c r="G35" s="18"/>
      <c r="H35" s="13"/>
      <c r="I35" s="13">
        <v>72500</v>
      </c>
      <c r="J35" s="13"/>
    </row>
    <row r="36" spans="1:10" ht="30" x14ac:dyDescent="0.25">
      <c r="A36" s="154" t="s">
        <v>1022</v>
      </c>
      <c r="B36" s="18">
        <v>100000</v>
      </c>
      <c r="C36" s="18">
        <v>240200</v>
      </c>
      <c r="D36" s="18">
        <v>200000</v>
      </c>
      <c r="E36" s="18"/>
      <c r="F36" s="18">
        <v>200000</v>
      </c>
      <c r="G36" s="18">
        <v>200000</v>
      </c>
      <c r="H36" s="13">
        <v>50000</v>
      </c>
      <c r="I36" s="13"/>
      <c r="J36" s="13"/>
    </row>
    <row r="37" spans="1:10" x14ac:dyDescent="0.25">
      <c r="A37" s="153" t="s">
        <v>669</v>
      </c>
      <c r="B37" s="18">
        <v>300000</v>
      </c>
      <c r="C37" s="18">
        <v>50000</v>
      </c>
      <c r="D37" s="18">
        <v>300000</v>
      </c>
      <c r="E37" s="18"/>
      <c r="F37" s="18">
        <v>480000</v>
      </c>
      <c r="G37" s="18">
        <v>480000</v>
      </c>
      <c r="H37" s="13">
        <v>50000</v>
      </c>
      <c r="I37" s="13"/>
      <c r="J37" s="13">
        <v>120000</v>
      </c>
    </row>
    <row r="38" spans="1:10" x14ac:dyDescent="0.25">
      <c r="A38" s="34" t="s">
        <v>681</v>
      </c>
      <c r="B38" s="18"/>
      <c r="C38" s="18">
        <v>15000</v>
      </c>
      <c r="D38" s="18"/>
      <c r="E38" s="18"/>
      <c r="F38" s="18"/>
      <c r="G38" s="18"/>
      <c r="H38" s="13"/>
      <c r="I38" s="13"/>
      <c r="J38" s="13"/>
    </row>
    <row r="39" spans="1:10" x14ac:dyDescent="0.25">
      <c r="A39" s="34"/>
      <c r="B39" s="18"/>
      <c r="C39" s="18"/>
      <c r="D39" s="18"/>
      <c r="E39" s="18"/>
      <c r="F39" s="18"/>
      <c r="G39" s="18"/>
      <c r="H39" s="13"/>
      <c r="I39" s="13"/>
      <c r="J39" s="13"/>
    </row>
    <row r="40" spans="1:10" ht="30" x14ac:dyDescent="0.25">
      <c r="A40" s="34" t="s">
        <v>1023</v>
      </c>
      <c r="B40" s="18"/>
      <c r="C40" s="18">
        <v>1134700</v>
      </c>
      <c r="D40" s="18"/>
      <c r="E40" s="18"/>
      <c r="F40" s="18"/>
      <c r="G40" s="18">
        <v>550000</v>
      </c>
      <c r="H40" s="13"/>
      <c r="I40" s="13"/>
      <c r="J40" s="13"/>
    </row>
    <row r="41" spans="1:10" x14ac:dyDescent="0.25">
      <c r="A41" s="34"/>
      <c r="B41" s="18"/>
      <c r="C41" s="18"/>
      <c r="D41" s="18"/>
      <c r="E41" s="18"/>
      <c r="F41" s="18"/>
      <c r="G41" s="18"/>
      <c r="H41" s="13"/>
      <c r="I41" s="13"/>
      <c r="J41" s="13"/>
    </row>
    <row r="42" spans="1:10" x14ac:dyDescent="0.25">
      <c r="A42" s="34" t="s">
        <v>1024</v>
      </c>
      <c r="B42" s="18">
        <v>300000</v>
      </c>
      <c r="C42" s="18">
        <v>175000</v>
      </c>
      <c r="D42" s="18">
        <v>460000</v>
      </c>
      <c r="E42" s="18"/>
      <c r="F42" s="18">
        <v>520000</v>
      </c>
      <c r="G42" s="18"/>
      <c r="H42" s="13">
        <v>180000</v>
      </c>
      <c r="I42" s="13"/>
      <c r="J42" s="13">
        <v>150000</v>
      </c>
    </row>
    <row r="43" spans="1:10" x14ac:dyDescent="0.25">
      <c r="A43" s="34" t="s">
        <v>448</v>
      </c>
      <c r="B43" s="18"/>
      <c r="C43" s="18"/>
      <c r="D43" s="18"/>
      <c r="E43" s="18"/>
      <c r="F43" s="18"/>
      <c r="G43" s="18"/>
      <c r="H43" s="13"/>
      <c r="I43" s="13">
        <v>200000</v>
      </c>
      <c r="J43" s="13"/>
    </row>
    <row r="44" spans="1:10" x14ac:dyDescent="0.25">
      <c r="A44" s="34"/>
      <c r="B44" s="18"/>
      <c r="C44" s="18"/>
      <c r="D44" s="18"/>
      <c r="E44" s="18"/>
      <c r="F44" s="18"/>
      <c r="G44" s="18"/>
      <c r="H44" s="13"/>
      <c r="I44" s="13"/>
      <c r="J44" s="13"/>
    </row>
    <row r="45" spans="1:10" x14ac:dyDescent="0.25">
      <c r="A45" s="89" t="s">
        <v>670</v>
      </c>
      <c r="B45" s="28">
        <f>SUM(B8:B44)</f>
        <v>1730000</v>
      </c>
      <c r="C45" s="28">
        <f>SUM(C8:C44)</f>
        <v>2415800</v>
      </c>
      <c r="D45" s="28">
        <f>SUM(D8:D44)</f>
        <v>2000000</v>
      </c>
      <c r="E45" s="28"/>
      <c r="F45" s="28">
        <f>SUM(F8:F44)</f>
        <v>2680000</v>
      </c>
      <c r="G45" s="28">
        <f>SUM(G8:G44)</f>
        <v>2990000</v>
      </c>
      <c r="H45" s="28">
        <f>SUM(H8:H44)</f>
        <v>2433000</v>
      </c>
      <c r="I45" s="28">
        <f>SUM(I8:I44)</f>
        <v>6608500</v>
      </c>
      <c r="J45" s="28">
        <f>SUM(J8:J44)</f>
        <v>5803000</v>
      </c>
    </row>
    <row r="47" spans="1:10" s="92" customFormat="1" x14ac:dyDescent="0.25">
      <c r="A47" s="147"/>
    </row>
    <row r="49" spans="1:10" x14ac:dyDescent="0.25">
      <c r="A49" s="78" t="s">
        <v>301</v>
      </c>
    </row>
    <row r="50" spans="1:10" x14ac:dyDescent="0.25">
      <c r="A50" s="79" t="s">
        <v>671</v>
      </c>
      <c r="B50" s="15" t="s">
        <v>1152</v>
      </c>
      <c r="C50" s="23" t="s">
        <v>196</v>
      </c>
      <c r="D50" s="16" t="s">
        <v>1153</v>
      </c>
      <c r="E50" s="16"/>
      <c r="F50" s="23" t="s">
        <v>196</v>
      </c>
      <c r="G50" s="16" t="s">
        <v>1154</v>
      </c>
      <c r="H50" s="16" t="s">
        <v>1155</v>
      </c>
      <c r="I50" s="16" t="s">
        <v>1156</v>
      </c>
      <c r="J50" s="16" t="s">
        <v>1157</v>
      </c>
    </row>
    <row r="51" spans="1:10" x14ac:dyDescent="0.25">
      <c r="A51" s="79" t="s">
        <v>672</v>
      </c>
      <c r="B51" s="15" t="s">
        <v>1311</v>
      </c>
      <c r="C51" s="23" t="s">
        <v>1312</v>
      </c>
      <c r="D51" s="16" t="s">
        <v>1313</v>
      </c>
      <c r="E51" s="16"/>
      <c r="F51" s="23" t="s">
        <v>1312</v>
      </c>
      <c r="G51" s="16" t="s">
        <v>1314</v>
      </c>
      <c r="H51" s="16" t="s">
        <v>1315</v>
      </c>
      <c r="I51" s="16" t="s">
        <v>1316</v>
      </c>
      <c r="J51" s="16" t="s">
        <v>1317</v>
      </c>
    </row>
    <row r="52" spans="1:10" x14ac:dyDescent="0.25">
      <c r="A52" s="80" t="s">
        <v>85</v>
      </c>
      <c r="B52" s="25" t="s">
        <v>23</v>
      </c>
      <c r="C52" s="25" t="s">
        <v>23</v>
      </c>
      <c r="D52" s="24" t="s">
        <v>24</v>
      </c>
      <c r="E52" s="24">
        <v>81</v>
      </c>
      <c r="F52" s="25" t="s">
        <v>26</v>
      </c>
      <c r="G52" s="24" t="s">
        <v>27</v>
      </c>
      <c r="H52" s="24" t="s">
        <v>28</v>
      </c>
      <c r="I52" s="24" t="s">
        <v>29</v>
      </c>
      <c r="J52" s="24" t="s">
        <v>30</v>
      </c>
    </row>
    <row r="53" spans="1:10" x14ac:dyDescent="0.25">
      <c r="A53" s="79" t="s">
        <v>86</v>
      </c>
      <c r="B53" s="15" t="s">
        <v>661</v>
      </c>
      <c r="C53" s="22" t="s">
        <v>662</v>
      </c>
      <c r="D53" s="16" t="s">
        <v>663</v>
      </c>
      <c r="E53" s="16"/>
      <c r="F53" s="16" t="s">
        <v>662</v>
      </c>
      <c r="G53" s="16" t="s">
        <v>664</v>
      </c>
      <c r="H53" s="16" t="s">
        <v>665</v>
      </c>
      <c r="I53" s="16" t="s">
        <v>666</v>
      </c>
      <c r="J53" s="16" t="s">
        <v>667</v>
      </c>
    </row>
    <row r="54" spans="1:10" x14ac:dyDescent="0.25">
      <c r="A54" s="79" t="s">
        <v>84</v>
      </c>
      <c r="B54" s="93" t="s">
        <v>71</v>
      </c>
      <c r="C54" s="22" t="s">
        <v>70</v>
      </c>
      <c r="D54" s="93" t="s">
        <v>71</v>
      </c>
      <c r="E54" s="23"/>
      <c r="F54" s="93" t="s">
        <v>71</v>
      </c>
      <c r="G54" s="93" t="s">
        <v>71</v>
      </c>
      <c r="H54" s="93" t="s">
        <v>71</v>
      </c>
      <c r="I54" s="93" t="s">
        <v>71</v>
      </c>
      <c r="J54" s="93" t="s">
        <v>71</v>
      </c>
    </row>
    <row r="55" spans="1:10" x14ac:dyDescent="0.25">
      <c r="A55" s="89"/>
      <c r="B55" s="28"/>
      <c r="C55" s="28"/>
      <c r="D55" s="28"/>
      <c r="E55" s="28"/>
      <c r="F55" s="28"/>
      <c r="G55" s="28"/>
      <c r="H55" s="17"/>
      <c r="I55" s="17"/>
      <c r="J55" s="17"/>
    </row>
    <row r="56" spans="1:10" x14ac:dyDescent="0.25">
      <c r="A56" s="88"/>
      <c r="B56" s="17"/>
      <c r="C56" s="17"/>
      <c r="D56" s="17"/>
      <c r="E56" s="17"/>
      <c r="F56" s="17"/>
      <c r="G56" s="17"/>
      <c r="H56" s="17"/>
      <c r="I56" s="17"/>
      <c r="J56" s="17"/>
    </row>
    <row r="57" spans="1:10" x14ac:dyDescent="0.25">
      <c r="A57" s="139" t="s">
        <v>624</v>
      </c>
      <c r="B57" s="16"/>
      <c r="C57" s="16"/>
      <c r="D57" s="16"/>
      <c r="E57" s="16"/>
      <c r="F57" s="16"/>
      <c r="G57" s="16"/>
      <c r="H57" s="17"/>
      <c r="I57" s="17"/>
      <c r="J57" s="17"/>
    </row>
    <row r="58" spans="1:10" x14ac:dyDescent="0.25">
      <c r="A58" s="88" t="s">
        <v>684</v>
      </c>
      <c r="B58" s="17">
        <v>60000</v>
      </c>
      <c r="C58" s="17">
        <v>60000</v>
      </c>
      <c r="D58" s="17">
        <v>60000</v>
      </c>
      <c r="E58" s="17"/>
      <c r="F58" s="17">
        <v>60000</v>
      </c>
      <c r="G58" s="17">
        <v>60000</v>
      </c>
      <c r="H58" s="17">
        <v>60000</v>
      </c>
      <c r="I58" s="17">
        <v>60000</v>
      </c>
      <c r="J58" s="17">
        <v>60000</v>
      </c>
    </row>
    <row r="59" spans="1:10" x14ac:dyDescent="0.25">
      <c r="A59" s="88" t="s">
        <v>686</v>
      </c>
      <c r="B59" s="17">
        <v>440000</v>
      </c>
      <c r="C59" s="17">
        <v>440000</v>
      </c>
      <c r="D59" s="17">
        <v>320000</v>
      </c>
      <c r="E59" s="17"/>
      <c r="F59" s="17">
        <v>350000</v>
      </c>
      <c r="G59" s="17">
        <v>450000</v>
      </c>
      <c r="H59" s="17"/>
      <c r="I59" s="17"/>
      <c r="J59" s="17"/>
    </row>
    <row r="60" spans="1:10" x14ac:dyDescent="0.25">
      <c r="A60" s="140" t="s">
        <v>305</v>
      </c>
      <c r="B60" s="17">
        <v>250000</v>
      </c>
      <c r="C60" s="17">
        <v>250000</v>
      </c>
      <c r="D60" s="17">
        <v>250000</v>
      </c>
      <c r="E60" s="17"/>
      <c r="F60" s="17">
        <v>250000</v>
      </c>
      <c r="G60" s="17">
        <v>300000</v>
      </c>
      <c r="H60" s="17">
        <v>250000</v>
      </c>
      <c r="I60" s="17">
        <v>350000</v>
      </c>
      <c r="J60" s="17">
        <v>350000</v>
      </c>
    </row>
    <row r="61" spans="1:10" x14ac:dyDescent="0.25">
      <c r="A61" s="88" t="s">
        <v>685</v>
      </c>
      <c r="B61" s="17"/>
      <c r="C61" s="17"/>
      <c r="D61" s="17"/>
      <c r="E61" s="17"/>
      <c r="F61" s="17"/>
      <c r="G61" s="17"/>
      <c r="H61" s="17"/>
      <c r="I61" s="17"/>
      <c r="J61" s="17">
        <v>50000</v>
      </c>
    </row>
    <row r="62" spans="1:10" x14ac:dyDescent="0.25">
      <c r="A62" s="140" t="s">
        <v>466</v>
      </c>
      <c r="B62" s="17">
        <v>120000</v>
      </c>
      <c r="C62" s="17">
        <v>120000</v>
      </c>
      <c r="D62" s="17">
        <v>120000</v>
      </c>
      <c r="E62" s="17"/>
      <c r="F62" s="17">
        <v>120000</v>
      </c>
      <c r="G62" s="17">
        <v>150000</v>
      </c>
      <c r="H62" s="17">
        <v>150000</v>
      </c>
      <c r="I62" s="17">
        <v>150000</v>
      </c>
      <c r="J62" s="17">
        <v>120000</v>
      </c>
    </row>
    <row r="63" spans="1:10" x14ac:dyDescent="0.25">
      <c r="A63" s="140" t="s">
        <v>629</v>
      </c>
      <c r="B63" s="17"/>
      <c r="C63" s="17"/>
      <c r="D63" s="17"/>
      <c r="E63" s="17"/>
      <c r="F63" s="17">
        <v>100000</v>
      </c>
      <c r="G63" s="17"/>
      <c r="H63" s="17">
        <v>291960</v>
      </c>
      <c r="I63" s="17">
        <f>100000+793020</f>
        <v>893020</v>
      </c>
      <c r="J63" s="17">
        <v>660360</v>
      </c>
    </row>
    <row r="64" spans="1:10" x14ac:dyDescent="0.25">
      <c r="A64" s="140" t="s">
        <v>625</v>
      </c>
      <c r="B64" s="17">
        <v>250000</v>
      </c>
      <c r="C64" s="17">
        <v>250000</v>
      </c>
      <c r="D64" s="17">
        <v>250000</v>
      </c>
      <c r="E64" s="17"/>
      <c r="F64" s="17">
        <v>400000</v>
      </c>
      <c r="G64" s="17">
        <v>600000</v>
      </c>
      <c r="H64" s="17">
        <v>600000</v>
      </c>
      <c r="I64" s="17">
        <v>600000</v>
      </c>
      <c r="J64" s="17">
        <v>600000</v>
      </c>
    </row>
    <row r="65" spans="1:10" x14ac:dyDescent="0.25">
      <c r="A65" s="88"/>
      <c r="B65" s="17"/>
      <c r="C65" s="17"/>
      <c r="D65" s="17"/>
      <c r="E65" s="17"/>
      <c r="F65" s="17"/>
      <c r="G65" s="17"/>
      <c r="H65" s="17"/>
      <c r="I65" s="17"/>
      <c r="J65" s="17"/>
    </row>
    <row r="66" spans="1:10" x14ac:dyDescent="0.25">
      <c r="A66" s="81" t="s">
        <v>303</v>
      </c>
      <c r="B66" s="17"/>
      <c r="C66" s="17"/>
      <c r="D66" s="17"/>
      <c r="E66" s="17"/>
      <c r="F66" s="17"/>
      <c r="G66" s="17"/>
      <c r="H66" s="17"/>
      <c r="I66" s="17"/>
      <c r="J66" s="17"/>
    </row>
    <row r="67" spans="1:10" x14ac:dyDescent="0.25">
      <c r="A67" s="88" t="s">
        <v>869</v>
      </c>
      <c r="B67" s="17"/>
      <c r="C67" s="17"/>
      <c r="D67" s="17"/>
      <c r="E67" s="17"/>
      <c r="F67" s="17"/>
      <c r="G67" s="17"/>
      <c r="H67" s="17"/>
      <c r="I67" s="17">
        <v>200000</v>
      </c>
      <c r="J67" s="17"/>
    </row>
    <row r="68" spans="1:10" x14ac:dyDescent="0.25">
      <c r="A68" s="43" t="s">
        <v>870</v>
      </c>
      <c r="B68" s="17"/>
      <c r="C68" s="17"/>
      <c r="D68" s="17"/>
      <c r="E68" s="17"/>
      <c r="F68" s="17"/>
      <c r="G68" s="17"/>
      <c r="H68" s="17"/>
      <c r="I68" s="17">
        <v>100000</v>
      </c>
      <c r="J68" s="17"/>
    </row>
    <row r="69" spans="1:10" x14ac:dyDescent="0.25">
      <c r="A69" s="140" t="s">
        <v>687</v>
      </c>
      <c r="B69" s="17"/>
      <c r="C69" s="17"/>
      <c r="D69" s="17"/>
      <c r="E69" s="17"/>
      <c r="F69" s="17"/>
      <c r="G69" s="17"/>
      <c r="H69" s="17"/>
      <c r="I69" s="17">
        <v>1100000</v>
      </c>
      <c r="J69" s="17">
        <v>1100000</v>
      </c>
    </row>
    <row r="70" spans="1:10" x14ac:dyDescent="0.25">
      <c r="A70" s="140" t="s">
        <v>688</v>
      </c>
      <c r="B70" s="17">
        <v>300000</v>
      </c>
      <c r="C70" s="17"/>
      <c r="D70" s="17">
        <v>600000</v>
      </c>
      <c r="E70" s="17"/>
      <c r="F70" s="17">
        <v>600000</v>
      </c>
      <c r="G70" s="17">
        <v>480000</v>
      </c>
      <c r="H70" s="17">
        <v>300000</v>
      </c>
      <c r="I70" s="17">
        <v>2400000</v>
      </c>
      <c r="J70" s="17">
        <v>1912640</v>
      </c>
    </row>
    <row r="71" spans="1:10" x14ac:dyDescent="0.25">
      <c r="A71" s="88"/>
      <c r="B71" s="17"/>
      <c r="C71" s="17"/>
      <c r="D71" s="17"/>
      <c r="E71" s="17"/>
      <c r="F71" s="17"/>
      <c r="G71" s="17"/>
      <c r="H71" s="17"/>
      <c r="I71" s="17"/>
      <c r="J71" s="17"/>
    </row>
    <row r="72" spans="1:10" x14ac:dyDescent="0.25">
      <c r="A72" s="140" t="s">
        <v>689</v>
      </c>
      <c r="B72" s="17">
        <v>120000</v>
      </c>
      <c r="C72" s="17"/>
      <c r="D72" s="17">
        <v>200000</v>
      </c>
      <c r="E72" s="17"/>
      <c r="F72" s="17">
        <v>400000</v>
      </c>
      <c r="G72" s="17">
        <v>450000</v>
      </c>
      <c r="H72" s="17"/>
      <c r="I72" s="17"/>
      <c r="J72" s="17"/>
    </row>
    <row r="73" spans="1:10" x14ac:dyDescent="0.25">
      <c r="A73" s="88" t="s">
        <v>1056</v>
      </c>
      <c r="B73" s="17"/>
      <c r="C73" s="17"/>
      <c r="D73" s="17"/>
      <c r="E73" s="17"/>
      <c r="F73" s="17"/>
      <c r="G73" s="17"/>
      <c r="H73" s="17"/>
      <c r="I73" s="17"/>
      <c r="J73" s="17"/>
    </row>
    <row r="74" spans="1:10" x14ac:dyDescent="0.25">
      <c r="A74" s="76" t="s">
        <v>691</v>
      </c>
      <c r="B74" s="17"/>
      <c r="C74" s="17"/>
      <c r="D74" s="17"/>
      <c r="E74" s="17"/>
      <c r="F74" s="17"/>
      <c r="G74" s="17"/>
      <c r="H74" s="17"/>
      <c r="I74" s="17">
        <v>60000</v>
      </c>
      <c r="J74" s="17"/>
    </row>
    <row r="75" spans="1:10" x14ac:dyDescent="0.25">
      <c r="A75" s="76"/>
      <c r="B75" s="17"/>
      <c r="C75" s="17"/>
      <c r="D75" s="17"/>
      <c r="E75" s="17"/>
      <c r="F75" s="17"/>
      <c r="G75" s="17"/>
      <c r="H75" s="17"/>
      <c r="I75" s="17"/>
      <c r="J75" s="17"/>
    </row>
    <row r="76" spans="1:10" ht="30" x14ac:dyDescent="0.25">
      <c r="A76" s="88" t="s">
        <v>692</v>
      </c>
      <c r="B76" s="17">
        <v>100000</v>
      </c>
      <c r="C76" s="17"/>
      <c r="D76" s="17">
        <v>100000</v>
      </c>
      <c r="E76" s="17"/>
      <c r="F76" s="17">
        <v>100000</v>
      </c>
      <c r="G76" s="17">
        <v>100000</v>
      </c>
      <c r="H76" s="17">
        <v>100000</v>
      </c>
      <c r="I76" s="17"/>
      <c r="J76" s="17"/>
    </row>
    <row r="77" spans="1:10" x14ac:dyDescent="0.25">
      <c r="A77" s="88" t="s">
        <v>693</v>
      </c>
      <c r="B77" s="17">
        <v>90000</v>
      </c>
      <c r="C77" s="17"/>
      <c r="D77" s="17">
        <v>100000</v>
      </c>
      <c r="E77" s="17"/>
      <c r="F77" s="17">
        <v>300000</v>
      </c>
      <c r="G77" s="17">
        <v>300000</v>
      </c>
      <c r="H77" s="17">
        <v>300000</v>
      </c>
      <c r="I77" s="17">
        <v>200000</v>
      </c>
      <c r="J77" s="17">
        <v>300000</v>
      </c>
    </row>
    <row r="78" spans="1:10" ht="30" customHeight="1" x14ac:dyDescent="0.25">
      <c r="A78" s="88" t="s">
        <v>1057</v>
      </c>
      <c r="B78" s="17"/>
      <c r="C78" s="17"/>
      <c r="D78" s="17"/>
      <c r="E78" s="17"/>
      <c r="F78" s="17"/>
      <c r="G78" s="17"/>
      <c r="H78" s="17"/>
      <c r="I78" s="17">
        <v>140000</v>
      </c>
      <c r="J78" s="17">
        <v>200000</v>
      </c>
    </row>
    <row r="79" spans="1:10" x14ac:dyDescent="0.25">
      <c r="A79" s="88"/>
      <c r="B79" s="17"/>
      <c r="C79" s="17"/>
      <c r="D79" s="17"/>
      <c r="E79" s="17"/>
      <c r="F79" s="17"/>
      <c r="G79" s="17"/>
      <c r="H79" s="17"/>
      <c r="I79" s="17"/>
      <c r="J79" s="17"/>
    </row>
    <row r="80" spans="1:10" x14ac:dyDescent="0.25">
      <c r="A80" s="76" t="s">
        <v>652</v>
      </c>
      <c r="B80" s="17"/>
      <c r="C80" s="17"/>
      <c r="D80" s="17"/>
      <c r="E80" s="17"/>
      <c r="F80" s="17"/>
      <c r="G80" s="17"/>
      <c r="H80" s="17"/>
      <c r="I80" s="17"/>
      <c r="J80" s="17"/>
    </row>
    <row r="81" spans="1:10" x14ac:dyDescent="0.25">
      <c r="A81" s="88" t="s">
        <v>163</v>
      </c>
      <c r="B81" s="17"/>
      <c r="C81" s="17"/>
      <c r="D81" s="17"/>
      <c r="E81" s="17"/>
      <c r="F81" s="17"/>
      <c r="G81" s="17"/>
      <c r="H81" s="17"/>
      <c r="I81" s="17"/>
      <c r="J81" s="17"/>
    </row>
    <row r="82" spans="1:10" x14ac:dyDescent="0.25">
      <c r="A82" s="88" t="s">
        <v>162</v>
      </c>
      <c r="B82" s="17"/>
      <c r="C82" s="17"/>
      <c r="D82" s="17"/>
      <c r="E82" s="17"/>
      <c r="F82" s="17"/>
      <c r="G82" s="17"/>
      <c r="H82" s="17"/>
      <c r="I82" s="17"/>
      <c r="J82" s="17"/>
    </row>
    <row r="83" spans="1:10" x14ac:dyDescent="0.25">
      <c r="A83" s="88"/>
      <c r="B83" s="17"/>
      <c r="C83" s="17"/>
      <c r="D83" s="17"/>
      <c r="E83" s="17"/>
      <c r="F83" s="17"/>
      <c r="G83" s="17"/>
      <c r="H83" s="17"/>
      <c r="I83" s="17"/>
      <c r="J83" s="17"/>
    </row>
    <row r="84" spans="1:10" x14ac:dyDescent="0.25">
      <c r="A84" s="140" t="s">
        <v>882</v>
      </c>
      <c r="B84" s="17"/>
      <c r="C84" s="17"/>
      <c r="D84" s="17"/>
      <c r="E84" s="17"/>
      <c r="F84" s="17"/>
      <c r="G84" s="17">
        <v>100000</v>
      </c>
      <c r="H84" s="17">
        <v>100000</v>
      </c>
      <c r="I84" s="17">
        <v>200000</v>
      </c>
      <c r="J84" s="17">
        <v>150000</v>
      </c>
    </row>
    <row r="85" spans="1:10" x14ac:dyDescent="0.25">
      <c r="A85" s="140" t="s">
        <v>164</v>
      </c>
      <c r="B85" s="17"/>
      <c r="C85" s="17"/>
      <c r="D85" s="17"/>
      <c r="E85" s="17"/>
      <c r="F85" s="17"/>
      <c r="G85" s="17"/>
      <c r="H85" s="17"/>
      <c r="I85" s="17"/>
      <c r="J85" s="17"/>
    </row>
    <row r="86" spans="1:10" x14ac:dyDescent="0.25">
      <c r="A86" s="88"/>
      <c r="B86" s="17"/>
      <c r="C86" s="17"/>
      <c r="D86" s="17"/>
      <c r="E86" s="17"/>
      <c r="F86" s="17"/>
      <c r="G86" s="17"/>
      <c r="H86" s="17"/>
      <c r="I86" s="17"/>
      <c r="J86" s="17"/>
    </row>
    <row r="87" spans="1:10" x14ac:dyDescent="0.25">
      <c r="A87" s="140" t="s">
        <v>504</v>
      </c>
      <c r="B87" s="17"/>
      <c r="C87" s="17">
        <v>342420</v>
      </c>
      <c r="D87" s="17"/>
      <c r="E87" s="17"/>
      <c r="F87" s="17"/>
      <c r="G87" s="17"/>
      <c r="H87" s="17">
        <v>281040</v>
      </c>
      <c r="I87" s="17">
        <v>155480</v>
      </c>
      <c r="J87" s="17">
        <v>300000</v>
      </c>
    </row>
    <row r="88" spans="1:10" x14ac:dyDescent="0.25">
      <c r="A88" s="88"/>
      <c r="B88" s="17"/>
      <c r="C88" s="17"/>
      <c r="D88" s="17"/>
      <c r="E88" s="17"/>
      <c r="F88" s="17"/>
      <c r="G88" s="17"/>
      <c r="H88" s="17"/>
      <c r="I88" s="17"/>
      <c r="J88" s="17"/>
    </row>
    <row r="89" spans="1:10" x14ac:dyDescent="0.25">
      <c r="A89" s="88"/>
      <c r="B89" s="17"/>
      <c r="C89" s="17"/>
      <c r="D89" s="17"/>
      <c r="E89" s="17"/>
      <c r="F89" s="17"/>
      <c r="G89" s="17"/>
      <c r="H89" s="17"/>
      <c r="I89" s="17"/>
      <c r="J89" s="17"/>
    </row>
    <row r="90" spans="1:10" x14ac:dyDescent="0.25">
      <c r="A90" s="89" t="s">
        <v>137</v>
      </c>
      <c r="B90" s="28">
        <f>SUM(B56:B89)</f>
        <v>1730000</v>
      </c>
      <c r="C90" s="28">
        <f>SUM(C56:C89)</f>
        <v>1462420</v>
      </c>
      <c r="D90" s="28">
        <f>SUM(D56:D89)</f>
        <v>2000000</v>
      </c>
      <c r="E90" s="28"/>
      <c r="F90" s="28">
        <f>SUM(F56:F89)</f>
        <v>2680000</v>
      </c>
      <c r="G90" s="28">
        <f>SUM(G56:G89)</f>
        <v>2990000</v>
      </c>
      <c r="H90" s="28">
        <f>SUM(H56:H89)</f>
        <v>2433000</v>
      </c>
      <c r="I90" s="28">
        <f>SUM(I56:I89)</f>
        <v>6608500</v>
      </c>
      <c r="J90" s="28">
        <f>SUM(J56:J89)</f>
        <v>5803000</v>
      </c>
    </row>
    <row r="91" spans="1:10" x14ac:dyDescent="0.25">
      <c r="A91" s="89"/>
      <c r="B91" s="17"/>
      <c r="C91" s="17"/>
      <c r="D91" s="17"/>
      <c r="E91" s="17"/>
      <c r="F91" s="17"/>
      <c r="G91" s="17"/>
      <c r="H91" s="17"/>
      <c r="I91" s="17"/>
      <c r="J91" s="17"/>
    </row>
    <row r="92" spans="1:10" x14ac:dyDescent="0.25">
      <c r="A92" s="89" t="s">
        <v>621</v>
      </c>
      <c r="B92" s="17">
        <f>B90</f>
        <v>1730000</v>
      </c>
      <c r="C92" s="17">
        <f t="shared" ref="C92:J92" si="0">C90</f>
        <v>1462420</v>
      </c>
      <c r="D92" s="17">
        <f t="shared" si="0"/>
        <v>2000000</v>
      </c>
      <c r="E92" s="17">
        <f t="shared" si="0"/>
        <v>0</v>
      </c>
      <c r="F92" s="17">
        <f t="shared" si="0"/>
        <v>2680000</v>
      </c>
      <c r="G92" s="17">
        <f t="shared" si="0"/>
        <v>2990000</v>
      </c>
      <c r="H92" s="17">
        <f t="shared" si="0"/>
        <v>2433000</v>
      </c>
      <c r="I92" s="17">
        <f t="shared" si="0"/>
        <v>6608500</v>
      </c>
      <c r="J92" s="17">
        <f t="shared" si="0"/>
        <v>5803000</v>
      </c>
    </row>
    <row r="93" spans="1:10" x14ac:dyDescent="0.25">
      <c r="A93" s="89"/>
      <c r="B93" s="17"/>
      <c r="C93" s="17"/>
      <c r="D93" s="17"/>
      <c r="E93" s="17"/>
      <c r="F93" s="17"/>
      <c r="G93" s="17"/>
      <c r="H93" s="17"/>
      <c r="I93" s="17"/>
      <c r="J93" s="17"/>
    </row>
    <row r="94" spans="1:10" x14ac:dyDescent="0.25">
      <c r="A94" s="90" t="s">
        <v>622</v>
      </c>
      <c r="B94" s="17">
        <f t="shared" ref="B94:J94" si="1">B45</f>
        <v>1730000</v>
      </c>
      <c r="C94" s="17">
        <f t="shared" si="1"/>
        <v>2415800</v>
      </c>
      <c r="D94" s="17">
        <f t="shared" si="1"/>
        <v>2000000</v>
      </c>
      <c r="E94" s="17">
        <f t="shared" si="1"/>
        <v>0</v>
      </c>
      <c r="F94" s="17">
        <f t="shared" si="1"/>
        <v>2680000</v>
      </c>
      <c r="G94" s="17">
        <f t="shared" si="1"/>
        <v>2990000</v>
      </c>
      <c r="H94" s="17">
        <f t="shared" si="1"/>
        <v>2433000</v>
      </c>
      <c r="I94" s="17">
        <f t="shared" si="1"/>
        <v>6608500</v>
      </c>
      <c r="J94" s="17">
        <f t="shared" si="1"/>
        <v>5803000</v>
      </c>
    </row>
    <row r="95" spans="1:10" x14ac:dyDescent="0.25">
      <c r="A95" s="89"/>
      <c r="B95" s="17"/>
      <c r="C95" s="17"/>
      <c r="D95" s="17"/>
      <c r="E95" s="17"/>
      <c r="F95" s="17"/>
      <c r="G95" s="17"/>
      <c r="H95" s="17"/>
      <c r="I95" s="17"/>
      <c r="J95" s="17"/>
    </row>
    <row r="96" spans="1:10" x14ac:dyDescent="0.25">
      <c r="A96" s="89" t="s">
        <v>623</v>
      </c>
      <c r="B96" s="47">
        <f>B94-B92</f>
        <v>0</v>
      </c>
      <c r="C96" s="47">
        <f t="shared" ref="C96:J96" si="2">C94-C92</f>
        <v>953380</v>
      </c>
      <c r="D96" s="47">
        <f t="shared" si="2"/>
        <v>0</v>
      </c>
      <c r="E96" s="47">
        <f t="shared" si="2"/>
        <v>0</v>
      </c>
      <c r="F96" s="47">
        <f t="shared" si="2"/>
        <v>0</v>
      </c>
      <c r="G96" s="47">
        <f t="shared" si="2"/>
        <v>0</v>
      </c>
      <c r="H96" s="47">
        <f t="shared" si="2"/>
        <v>0</v>
      </c>
      <c r="I96" s="47">
        <f t="shared" si="2"/>
        <v>0</v>
      </c>
      <c r="J96" s="47">
        <f t="shared" si="2"/>
        <v>0</v>
      </c>
    </row>
    <row r="97" spans="1:10" x14ac:dyDescent="0.25">
      <c r="A97" s="89"/>
      <c r="B97" s="17"/>
      <c r="C97" s="17"/>
      <c r="D97" s="17"/>
      <c r="E97" s="17"/>
      <c r="F97" s="17"/>
      <c r="G97" s="17"/>
      <c r="H97" s="17"/>
      <c r="I97" s="17"/>
      <c r="J97" s="17"/>
    </row>
    <row r="98" spans="1:10" x14ac:dyDescent="0.25">
      <c r="A98" s="89"/>
      <c r="B98" s="17"/>
      <c r="C98" s="17"/>
      <c r="D98" s="17"/>
      <c r="E98" s="17"/>
      <c r="F98" s="17"/>
      <c r="G98" s="17"/>
      <c r="H98" s="17"/>
      <c r="I98" s="17"/>
      <c r="J98" s="17"/>
    </row>
    <row r="99" spans="1:10" x14ac:dyDescent="0.25">
      <c r="A99" s="89"/>
      <c r="B99" s="17"/>
      <c r="C99" s="17"/>
      <c r="D99" s="17"/>
      <c r="E99" s="17"/>
      <c r="F99" s="17"/>
      <c r="G99" s="17"/>
      <c r="H99" s="17"/>
      <c r="I99" s="17"/>
      <c r="J99" s="17"/>
    </row>
    <row r="100" spans="1:10" x14ac:dyDescent="0.25">
      <c r="A100" s="88"/>
      <c r="B100" s="17"/>
      <c r="C100" s="17"/>
      <c r="D100" s="17"/>
      <c r="E100" s="17"/>
      <c r="F100" s="17"/>
      <c r="G100" s="17"/>
      <c r="H100" s="17"/>
      <c r="I100" s="17"/>
      <c r="J100" s="17"/>
    </row>
    <row r="101" spans="1:10" x14ac:dyDescent="0.25">
      <c r="A101" s="88"/>
      <c r="B101" s="17"/>
      <c r="C101" s="17"/>
      <c r="D101" s="17"/>
      <c r="E101" s="17"/>
      <c r="F101" s="17"/>
      <c r="G101" s="17"/>
      <c r="H101" s="17"/>
      <c r="I101" s="17"/>
      <c r="J101" s="17"/>
    </row>
    <row r="102" spans="1:10" x14ac:dyDescent="0.25">
      <c r="A102" s="88"/>
      <c r="B102" s="17"/>
      <c r="C102" s="17"/>
      <c r="D102" s="17"/>
      <c r="E102" s="17"/>
      <c r="F102" s="17"/>
      <c r="G102" s="17"/>
      <c r="H102" s="17"/>
      <c r="I102" s="17"/>
      <c r="J102" s="17"/>
    </row>
    <row r="103" spans="1:10" x14ac:dyDescent="0.25">
      <c r="A103" s="88"/>
      <c r="B103" s="17"/>
      <c r="C103" s="17"/>
      <c r="D103" s="17"/>
      <c r="E103" s="17"/>
      <c r="F103" s="17"/>
      <c r="G103" s="17"/>
      <c r="H103" s="17"/>
      <c r="I103" s="17"/>
      <c r="J103" s="17"/>
    </row>
    <row r="104" spans="1:10" x14ac:dyDescent="0.25">
      <c r="A104" s="88"/>
      <c r="B104" s="17"/>
      <c r="C104" s="17"/>
      <c r="D104" s="17"/>
      <c r="E104" s="17"/>
      <c r="F104" s="17"/>
      <c r="G104" s="17"/>
      <c r="H104" s="17"/>
      <c r="I104" s="17"/>
      <c r="J104" s="17"/>
    </row>
    <row r="105" spans="1:10" x14ac:dyDescent="0.25">
      <c r="A105" s="88"/>
      <c r="B105" s="17"/>
      <c r="C105" s="17"/>
      <c r="D105" s="17"/>
      <c r="E105" s="17"/>
      <c r="F105" s="17"/>
      <c r="G105" s="17"/>
      <c r="H105" s="17"/>
      <c r="I105" s="17"/>
      <c r="J105" s="17"/>
    </row>
    <row r="106" spans="1:10" x14ac:dyDescent="0.25">
      <c r="A106" s="88"/>
      <c r="B106" s="17"/>
      <c r="C106" s="17"/>
      <c r="D106" s="17"/>
      <c r="E106" s="17"/>
      <c r="F106" s="17"/>
      <c r="G106" s="17"/>
      <c r="H106" s="17"/>
      <c r="I106" s="17"/>
      <c r="J106" s="17"/>
    </row>
    <row r="107" spans="1:10" x14ac:dyDescent="0.25">
      <c r="A107" s="88"/>
      <c r="B107" s="17"/>
      <c r="C107" s="17"/>
      <c r="D107" s="17"/>
      <c r="E107" s="17"/>
      <c r="F107" s="17"/>
      <c r="G107" s="17"/>
      <c r="H107" s="17"/>
      <c r="I107" s="17"/>
      <c r="J107" s="17"/>
    </row>
    <row r="108" spans="1:10" x14ac:dyDescent="0.25">
      <c r="A108" s="88"/>
      <c r="B108" s="17"/>
      <c r="C108" s="17"/>
      <c r="D108" s="17"/>
      <c r="E108" s="17"/>
      <c r="F108" s="17"/>
      <c r="G108" s="17"/>
      <c r="H108" s="17"/>
      <c r="I108" s="17"/>
      <c r="J108" s="17"/>
    </row>
    <row r="109" spans="1:10" x14ac:dyDescent="0.25">
      <c r="A109" s="88"/>
      <c r="B109" s="17"/>
      <c r="C109" s="17"/>
      <c r="D109" s="17"/>
      <c r="E109" s="17"/>
      <c r="F109" s="17"/>
      <c r="G109" s="17"/>
      <c r="H109" s="17"/>
      <c r="I109" s="17"/>
      <c r="J109" s="17"/>
    </row>
    <row r="110" spans="1:10" x14ac:dyDescent="0.25">
      <c r="A110" s="88"/>
      <c r="B110" s="17"/>
      <c r="C110" s="17"/>
      <c r="D110" s="17"/>
      <c r="E110" s="17"/>
      <c r="F110" s="17"/>
      <c r="G110" s="17"/>
      <c r="H110" s="17"/>
      <c r="I110" s="17"/>
      <c r="J110" s="17"/>
    </row>
    <row r="111" spans="1:10" x14ac:dyDescent="0.25">
      <c r="A111" s="88"/>
      <c r="B111" s="17"/>
      <c r="C111" s="17"/>
      <c r="D111" s="17"/>
      <c r="E111" s="17"/>
      <c r="F111" s="17"/>
      <c r="G111" s="17"/>
      <c r="H111" s="17"/>
      <c r="I111" s="17"/>
      <c r="J111" s="17"/>
    </row>
    <row r="112" spans="1:10" x14ac:dyDescent="0.25">
      <c r="A112" s="89"/>
      <c r="B112" s="28"/>
      <c r="C112" s="28"/>
      <c r="D112" s="28"/>
      <c r="E112" s="28"/>
      <c r="F112" s="28"/>
      <c r="G112" s="28"/>
      <c r="H112" s="28"/>
      <c r="I112" s="28"/>
      <c r="J112" s="28"/>
    </row>
  </sheetData>
  <sortState ref="A85:J86">
    <sortCondition ref="A85:A86"/>
  </sortState>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211"/>
  <sheetViews>
    <sheetView showZeros="0" zoomScaleNormal="100" workbookViewId="0">
      <pane xSplit="1" ySplit="7" topLeftCell="B8" activePane="bottomRight" state="frozen"/>
      <selection pane="topRight" activeCell="B1" sqref="B1"/>
      <selection pane="bottomLeft" activeCell="A8" sqref="A8"/>
      <selection pane="bottomRight" activeCell="B8" sqref="B8"/>
    </sheetView>
  </sheetViews>
  <sheetFormatPr defaultRowHeight="15" x14ac:dyDescent="0.25"/>
  <cols>
    <col min="1" max="1" width="70.7109375" style="83" customWidth="1"/>
    <col min="2" max="3" width="20.7109375" style="14" customWidth="1"/>
    <col min="4" max="5" width="10.7109375" style="14" customWidth="1"/>
    <col min="6" max="23" width="20.7109375" style="14" customWidth="1"/>
    <col min="24" max="24" width="10.7109375" style="14" customWidth="1"/>
    <col min="25" max="26" width="20.7109375" style="14" customWidth="1"/>
    <col min="27" max="27" width="10.7109375" style="14" customWidth="1"/>
    <col min="28" max="41" width="20.7109375" style="14" customWidth="1"/>
    <col min="42" max="43" width="10.7109375" style="14" customWidth="1"/>
    <col min="44" max="44" width="20.7109375" style="14" customWidth="1"/>
    <col min="45" max="45" width="10.7109375" style="14" customWidth="1"/>
    <col min="46" max="46" width="20.7109375" style="14" customWidth="1"/>
    <col min="47" max="16384" width="9.140625" style="14"/>
  </cols>
  <sheetData>
    <row r="1" spans="1:46" x14ac:dyDescent="0.25">
      <c r="A1" s="78" t="s">
        <v>87</v>
      </c>
    </row>
    <row r="2" spans="1:46" x14ac:dyDescent="0.25">
      <c r="A2" s="79" t="s">
        <v>761</v>
      </c>
      <c r="B2" s="22" t="s">
        <v>1129</v>
      </c>
      <c r="C2" s="23" t="s">
        <v>1158</v>
      </c>
      <c r="D2" s="23"/>
      <c r="E2" s="23"/>
      <c r="F2" s="22" t="s">
        <v>694</v>
      </c>
      <c r="G2" s="22" t="s">
        <v>511</v>
      </c>
      <c r="H2" s="22" t="s">
        <v>0</v>
      </c>
      <c r="I2" s="22" t="s">
        <v>1159</v>
      </c>
      <c r="J2" s="22" t="s">
        <v>1159</v>
      </c>
      <c r="K2" s="22" t="s">
        <v>1160</v>
      </c>
      <c r="L2" s="22" t="s">
        <v>1160</v>
      </c>
      <c r="M2" s="23" t="s">
        <v>512</v>
      </c>
      <c r="N2" s="22" t="s">
        <v>695</v>
      </c>
      <c r="O2" s="22" t="s">
        <v>695</v>
      </c>
      <c r="P2" s="23" t="s">
        <v>696</v>
      </c>
      <c r="Q2" s="22" t="s">
        <v>1161</v>
      </c>
      <c r="R2" s="22" t="s">
        <v>1161</v>
      </c>
      <c r="S2" s="22" t="s">
        <v>4</v>
      </c>
      <c r="T2" s="22" t="s">
        <v>697</v>
      </c>
      <c r="U2" s="22" t="s">
        <v>697</v>
      </c>
      <c r="V2" s="22" t="s">
        <v>697</v>
      </c>
      <c r="W2" s="23" t="s">
        <v>698</v>
      </c>
      <c r="X2" s="23"/>
      <c r="Y2" s="23" t="s">
        <v>698</v>
      </c>
      <c r="Z2" s="22" t="s">
        <v>1162</v>
      </c>
      <c r="AA2" s="22"/>
      <c r="AB2" s="22" t="s">
        <v>699</v>
      </c>
      <c r="AC2" s="23" t="s">
        <v>699</v>
      </c>
      <c r="AD2" s="22" t="s">
        <v>317</v>
      </c>
      <c r="AE2" s="22" t="s">
        <v>1163</v>
      </c>
      <c r="AF2" s="22" t="s">
        <v>317</v>
      </c>
      <c r="AG2" s="22" t="s">
        <v>700</v>
      </c>
      <c r="AH2" s="22" t="s">
        <v>1153</v>
      </c>
      <c r="AI2" s="23" t="s">
        <v>518</v>
      </c>
      <c r="AJ2" s="22" t="s">
        <v>701</v>
      </c>
      <c r="AK2" s="22" t="s">
        <v>702</v>
      </c>
      <c r="AL2" s="22" t="s">
        <v>703</v>
      </c>
      <c r="AM2" s="22" t="s">
        <v>1164</v>
      </c>
      <c r="AN2" s="22" t="s">
        <v>1165</v>
      </c>
      <c r="AO2" s="22" t="s">
        <v>1164</v>
      </c>
      <c r="AP2" s="22"/>
      <c r="AQ2" s="22"/>
      <c r="AR2" s="22" t="s">
        <v>1166</v>
      </c>
      <c r="AS2" s="23"/>
      <c r="AT2" s="22" t="s">
        <v>1167</v>
      </c>
    </row>
    <row r="3" spans="1:46" x14ac:dyDescent="0.25">
      <c r="A3" s="79" t="s">
        <v>762</v>
      </c>
      <c r="B3" s="22" t="s">
        <v>1318</v>
      </c>
      <c r="C3" s="23" t="s">
        <v>1319</v>
      </c>
      <c r="D3" s="23"/>
      <c r="E3" s="23"/>
      <c r="F3" s="22" t="s">
        <v>1320</v>
      </c>
      <c r="G3" s="22" t="s">
        <v>1321</v>
      </c>
      <c r="H3" s="22" t="s">
        <v>1322</v>
      </c>
      <c r="I3" s="22" t="s">
        <v>1323</v>
      </c>
      <c r="J3" s="22" t="s">
        <v>1323</v>
      </c>
      <c r="K3" s="22" t="s">
        <v>1324</v>
      </c>
      <c r="L3" s="22" t="s">
        <v>1324</v>
      </c>
      <c r="M3" s="23" t="s">
        <v>1325</v>
      </c>
      <c r="N3" s="22" t="s">
        <v>1326</v>
      </c>
      <c r="O3" s="22" t="s">
        <v>1326</v>
      </c>
      <c r="P3" s="23" t="s">
        <v>1327</v>
      </c>
      <c r="Q3" s="22" t="s">
        <v>1328</v>
      </c>
      <c r="R3" s="22" t="s">
        <v>1328</v>
      </c>
      <c r="S3" s="22" t="s">
        <v>1329</v>
      </c>
      <c r="T3" s="22" t="s">
        <v>1330</v>
      </c>
      <c r="U3" s="22" t="s">
        <v>1331</v>
      </c>
      <c r="V3" s="22" t="s">
        <v>1330</v>
      </c>
      <c r="W3" s="23" t="s">
        <v>1332</v>
      </c>
      <c r="X3" s="23"/>
      <c r="Y3" s="23" t="s">
        <v>1332</v>
      </c>
      <c r="Z3" s="22" t="s">
        <v>1333</v>
      </c>
      <c r="AA3" s="22"/>
      <c r="AB3" s="22" t="s">
        <v>1334</v>
      </c>
      <c r="AC3" s="23" t="s">
        <v>1335</v>
      </c>
      <c r="AD3" s="22" t="s">
        <v>1336</v>
      </c>
      <c r="AE3" s="22" t="s">
        <v>1337</v>
      </c>
      <c r="AF3" s="22" t="s">
        <v>1336</v>
      </c>
      <c r="AG3" s="22" t="s">
        <v>1338</v>
      </c>
      <c r="AH3" s="22" t="s">
        <v>1339</v>
      </c>
      <c r="AI3" s="23" t="s">
        <v>1340</v>
      </c>
      <c r="AJ3" s="22" t="s">
        <v>1341</v>
      </c>
      <c r="AK3" s="22" t="s">
        <v>1342</v>
      </c>
      <c r="AL3" s="22" t="s">
        <v>1343</v>
      </c>
      <c r="AM3" s="22" t="s">
        <v>1344</v>
      </c>
      <c r="AN3" s="22" t="s">
        <v>1345</v>
      </c>
      <c r="AO3" s="22" t="s">
        <v>1344</v>
      </c>
      <c r="AP3" s="22"/>
      <c r="AQ3" s="22"/>
      <c r="AR3" s="22" t="s">
        <v>1346</v>
      </c>
      <c r="AS3" s="23"/>
      <c r="AT3" s="22" t="s">
        <v>1347</v>
      </c>
    </row>
    <row r="4" spans="1:46" x14ac:dyDescent="0.25">
      <c r="A4" s="80" t="s">
        <v>85</v>
      </c>
      <c r="B4" s="24">
        <v>1846</v>
      </c>
      <c r="C4" s="24">
        <v>1847</v>
      </c>
      <c r="D4" s="24">
        <v>48</v>
      </c>
      <c r="E4" s="24">
        <v>49</v>
      </c>
      <c r="F4" s="24">
        <v>1850</v>
      </c>
      <c r="G4" s="24">
        <v>1851</v>
      </c>
      <c r="H4" s="24">
        <v>1852</v>
      </c>
      <c r="I4" s="24">
        <v>1853</v>
      </c>
      <c r="J4" s="24">
        <v>1854</v>
      </c>
      <c r="K4" s="24">
        <v>1855</v>
      </c>
      <c r="L4" s="24">
        <v>1856</v>
      </c>
      <c r="M4" s="24">
        <v>1857</v>
      </c>
      <c r="N4" s="24">
        <v>1858</v>
      </c>
      <c r="O4" s="24">
        <v>1859</v>
      </c>
      <c r="P4" s="24">
        <v>1860</v>
      </c>
      <c r="Q4" s="24">
        <v>1861</v>
      </c>
      <c r="R4" s="24">
        <v>1862</v>
      </c>
      <c r="S4" s="24" t="s">
        <v>337</v>
      </c>
      <c r="T4" s="24" t="s">
        <v>203</v>
      </c>
      <c r="U4" s="24" t="s">
        <v>204</v>
      </c>
      <c r="V4" s="24" t="s">
        <v>205</v>
      </c>
      <c r="W4" s="24" t="s">
        <v>206</v>
      </c>
      <c r="X4" s="24">
        <v>68</v>
      </c>
      <c r="Y4" s="24" t="s">
        <v>208</v>
      </c>
      <c r="Z4" s="24" t="s">
        <v>209</v>
      </c>
      <c r="AA4" s="24">
        <v>71</v>
      </c>
      <c r="AB4" s="24" t="s">
        <v>211</v>
      </c>
      <c r="AC4" s="24" t="s">
        <v>212</v>
      </c>
      <c r="AD4" s="24" t="s">
        <v>22</v>
      </c>
      <c r="AE4" s="24" t="s">
        <v>213</v>
      </c>
      <c r="AF4" s="24" t="s">
        <v>214</v>
      </c>
      <c r="AG4" s="24" t="s">
        <v>294</v>
      </c>
      <c r="AH4" s="24" t="s">
        <v>216</v>
      </c>
      <c r="AI4" s="25" t="s">
        <v>23</v>
      </c>
      <c r="AJ4" s="24" t="s">
        <v>24</v>
      </c>
      <c r="AK4" s="24" t="s">
        <v>25</v>
      </c>
      <c r="AL4" s="24" t="s">
        <v>26</v>
      </c>
      <c r="AM4" s="24" t="s">
        <v>27</v>
      </c>
      <c r="AN4" s="24" t="s">
        <v>28</v>
      </c>
      <c r="AO4" s="24" t="s">
        <v>29</v>
      </c>
      <c r="AP4" s="24" t="s">
        <v>30</v>
      </c>
      <c r="AQ4" s="26" t="s">
        <v>31</v>
      </c>
      <c r="AR4" s="24" t="s">
        <v>32</v>
      </c>
      <c r="AS4" s="25" t="s">
        <v>33</v>
      </c>
      <c r="AT4" s="24" t="s">
        <v>217</v>
      </c>
    </row>
    <row r="5" spans="1:46" x14ac:dyDescent="0.25">
      <c r="A5" s="81" t="s">
        <v>86</v>
      </c>
      <c r="B5" s="22" t="s">
        <v>704</v>
      </c>
      <c r="C5" s="23" t="s">
        <v>705</v>
      </c>
      <c r="D5" s="23"/>
      <c r="E5" s="23"/>
      <c r="F5" s="22" t="s">
        <v>706</v>
      </c>
      <c r="G5" s="22" t="s">
        <v>707</v>
      </c>
      <c r="H5" s="22" t="s">
        <v>708</v>
      </c>
      <c r="I5" s="22" t="s">
        <v>709</v>
      </c>
      <c r="J5" s="22" t="s">
        <v>709</v>
      </c>
      <c r="K5" s="22" t="s">
        <v>710</v>
      </c>
      <c r="L5" s="22" t="s">
        <v>710</v>
      </c>
      <c r="M5" s="23" t="s">
        <v>711</v>
      </c>
      <c r="N5" s="22" t="s">
        <v>712</v>
      </c>
      <c r="O5" s="22" t="s">
        <v>712</v>
      </c>
      <c r="P5" s="23" t="s">
        <v>713</v>
      </c>
      <c r="Q5" s="22" t="s">
        <v>714</v>
      </c>
      <c r="R5" s="22" t="s">
        <v>714</v>
      </c>
      <c r="S5" s="22" t="s">
        <v>715</v>
      </c>
      <c r="T5" s="22" t="s">
        <v>716</v>
      </c>
      <c r="U5" s="22" t="s">
        <v>717</v>
      </c>
      <c r="V5" s="22" t="s">
        <v>716</v>
      </c>
      <c r="W5" s="23" t="s">
        <v>718</v>
      </c>
      <c r="X5" s="23"/>
      <c r="Y5" s="23" t="s">
        <v>718</v>
      </c>
      <c r="Z5" s="22" t="s">
        <v>719</v>
      </c>
      <c r="AA5" s="22"/>
      <c r="AB5" s="22" t="s">
        <v>720</v>
      </c>
      <c r="AC5" s="23" t="s">
        <v>721</v>
      </c>
      <c r="AD5" s="22" t="s">
        <v>722</v>
      </c>
      <c r="AE5" s="22" t="s">
        <v>723</v>
      </c>
      <c r="AF5" s="22" t="s">
        <v>722</v>
      </c>
      <c r="AG5" s="22" t="s">
        <v>724</v>
      </c>
      <c r="AH5" s="22" t="s">
        <v>725</v>
      </c>
      <c r="AI5" s="23" t="s">
        <v>726</v>
      </c>
      <c r="AJ5" s="22" t="s">
        <v>727</v>
      </c>
      <c r="AK5" s="22" t="s">
        <v>726</v>
      </c>
      <c r="AL5" s="22" t="s">
        <v>728</v>
      </c>
      <c r="AM5" s="22" t="s">
        <v>729</v>
      </c>
      <c r="AN5" s="22" t="s">
        <v>730</v>
      </c>
      <c r="AO5" s="22" t="s">
        <v>729</v>
      </c>
      <c r="AP5" s="22"/>
      <c r="AQ5" s="22"/>
      <c r="AR5" s="22" t="s">
        <v>731</v>
      </c>
      <c r="AS5" s="23"/>
      <c r="AT5" s="22" t="s">
        <v>732</v>
      </c>
    </row>
    <row r="6" spans="1:46" x14ac:dyDescent="0.25">
      <c r="A6" s="79" t="s">
        <v>84</v>
      </c>
      <c r="B6" s="93" t="s">
        <v>71</v>
      </c>
      <c r="C6" s="93" t="s">
        <v>71</v>
      </c>
      <c r="D6" s="22"/>
      <c r="E6" s="22"/>
      <c r="F6" s="22" t="s">
        <v>70</v>
      </c>
      <c r="G6" s="22" t="s">
        <v>70</v>
      </c>
      <c r="H6" s="22" t="s">
        <v>70</v>
      </c>
      <c r="I6" s="22" t="s">
        <v>70</v>
      </c>
      <c r="J6" s="93" t="s">
        <v>71</v>
      </c>
      <c r="K6" s="22" t="s">
        <v>70</v>
      </c>
      <c r="L6" s="22" t="s">
        <v>70</v>
      </c>
      <c r="M6" s="22" t="s">
        <v>70</v>
      </c>
      <c r="N6" s="22" t="s">
        <v>70</v>
      </c>
      <c r="O6" s="93" t="s">
        <v>71</v>
      </c>
      <c r="P6" s="93" t="s">
        <v>71</v>
      </c>
      <c r="Q6" s="22" t="s">
        <v>70</v>
      </c>
      <c r="R6" s="93" t="s">
        <v>71</v>
      </c>
      <c r="S6" s="22" t="s">
        <v>70</v>
      </c>
      <c r="T6" s="22" t="s">
        <v>70</v>
      </c>
      <c r="U6" s="22" t="s">
        <v>70</v>
      </c>
      <c r="V6" s="93" t="s">
        <v>71</v>
      </c>
      <c r="W6" s="22" t="s">
        <v>70</v>
      </c>
      <c r="X6" s="22"/>
      <c r="Y6" s="93" t="s">
        <v>71</v>
      </c>
      <c r="Z6" s="22" t="s">
        <v>70</v>
      </c>
      <c r="AA6" s="22"/>
      <c r="AB6" s="22" t="s">
        <v>70</v>
      </c>
      <c r="AC6" s="22" t="s">
        <v>70</v>
      </c>
      <c r="AD6" s="22" t="s">
        <v>70</v>
      </c>
      <c r="AE6" s="22" t="s">
        <v>70</v>
      </c>
      <c r="AF6" s="22" t="s">
        <v>71</v>
      </c>
      <c r="AG6" s="22" t="s">
        <v>70</v>
      </c>
      <c r="AH6" s="22" t="s">
        <v>70</v>
      </c>
      <c r="AI6" s="22" t="s">
        <v>70</v>
      </c>
      <c r="AJ6" s="22" t="s">
        <v>70</v>
      </c>
      <c r="AK6" s="22" t="s">
        <v>71</v>
      </c>
      <c r="AL6" s="22" t="s">
        <v>70</v>
      </c>
      <c r="AM6" s="22" t="s">
        <v>70</v>
      </c>
      <c r="AN6" s="22" t="s">
        <v>70</v>
      </c>
      <c r="AO6" s="93" t="s">
        <v>71</v>
      </c>
      <c r="AP6" s="22"/>
      <c r="AQ6" s="22"/>
      <c r="AR6" s="93" t="s">
        <v>71</v>
      </c>
      <c r="AS6" s="22"/>
      <c r="AT6" s="93" t="s">
        <v>71</v>
      </c>
    </row>
    <row r="7" spans="1:46" x14ac:dyDescent="0.25">
      <c r="A7" s="98"/>
      <c r="B7" s="27"/>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9"/>
      <c r="AO7" s="13"/>
      <c r="AP7" s="13"/>
      <c r="AQ7" s="28"/>
      <c r="AR7" s="29"/>
      <c r="AS7" s="29"/>
      <c r="AT7" s="29"/>
    </row>
    <row r="8" spans="1:46" x14ac:dyDescent="0.25">
      <c r="A8" s="34" t="s">
        <v>583</v>
      </c>
      <c r="B8" s="13"/>
      <c r="C8" s="13">
        <v>83160</v>
      </c>
      <c r="D8" s="13"/>
      <c r="E8" s="13"/>
      <c r="F8" s="13">
        <v>46483</v>
      </c>
      <c r="G8" s="13">
        <v>1100750</v>
      </c>
      <c r="H8" s="13">
        <v>829926</v>
      </c>
      <c r="I8" s="13">
        <v>57550</v>
      </c>
      <c r="J8" s="13"/>
      <c r="K8" s="13">
        <v>504064</v>
      </c>
      <c r="L8" s="13">
        <v>821850</v>
      </c>
      <c r="M8" s="13">
        <v>134710</v>
      </c>
      <c r="N8" s="13">
        <v>1669467</v>
      </c>
      <c r="O8" s="13">
        <v>1516125</v>
      </c>
      <c r="P8" s="13">
        <v>473300</v>
      </c>
      <c r="Q8" s="13">
        <v>472456</v>
      </c>
      <c r="R8" s="13">
        <v>1992310</v>
      </c>
      <c r="S8" s="13">
        <v>3147520</v>
      </c>
      <c r="T8" s="13">
        <v>4773563</v>
      </c>
      <c r="U8" s="13">
        <v>4773563</v>
      </c>
      <c r="V8" s="13">
        <v>4612481</v>
      </c>
      <c r="W8" s="13">
        <v>2416938</v>
      </c>
      <c r="X8" s="13"/>
      <c r="Y8" s="13"/>
      <c r="Z8" s="13">
        <v>208500</v>
      </c>
      <c r="AA8" s="13"/>
      <c r="AB8" s="13">
        <v>307884</v>
      </c>
      <c r="AC8" s="13">
        <v>1553168</v>
      </c>
      <c r="AD8" s="13"/>
      <c r="AE8" s="13">
        <v>488714</v>
      </c>
      <c r="AF8" s="13">
        <v>488714</v>
      </c>
      <c r="AG8" s="13">
        <v>780410</v>
      </c>
      <c r="AH8" s="13">
        <v>414953</v>
      </c>
      <c r="AI8" s="13"/>
      <c r="AJ8" s="13">
        <v>455031</v>
      </c>
      <c r="AK8" s="13"/>
      <c r="AL8" s="13">
        <v>170750</v>
      </c>
      <c r="AM8" s="13"/>
      <c r="AN8" s="13">
        <v>203060</v>
      </c>
      <c r="AO8" s="13"/>
      <c r="AP8" s="13"/>
      <c r="AQ8" s="13"/>
      <c r="AR8" s="13"/>
      <c r="AS8" s="13"/>
      <c r="AT8" s="13"/>
    </row>
    <row r="9" spans="1:46" x14ac:dyDescent="0.25">
      <c r="A9" s="80" t="s">
        <v>674</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13"/>
      <c r="AO9" s="13"/>
      <c r="AP9" s="13"/>
      <c r="AQ9" s="22"/>
      <c r="AR9" s="13"/>
      <c r="AS9" s="13"/>
      <c r="AT9" s="13"/>
    </row>
    <row r="10" spans="1:46" x14ac:dyDescent="0.25">
      <c r="A10" s="34" t="s">
        <v>1025</v>
      </c>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v>5000</v>
      </c>
      <c r="AH10" s="96"/>
      <c r="AI10" s="18"/>
      <c r="AJ10" s="18"/>
      <c r="AK10" s="18"/>
      <c r="AL10" s="18"/>
      <c r="AM10" s="18"/>
      <c r="AN10" s="13"/>
      <c r="AO10" s="13"/>
      <c r="AP10" s="13"/>
      <c r="AQ10" s="13"/>
      <c r="AR10" s="13"/>
      <c r="AS10" s="13"/>
      <c r="AT10" s="13"/>
    </row>
    <row r="11" spans="1:46" x14ac:dyDescent="0.25">
      <c r="A11" s="75" t="s">
        <v>139</v>
      </c>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v>10000</v>
      </c>
      <c r="AE11" s="96"/>
      <c r="AF11" s="96"/>
      <c r="AG11" s="96"/>
      <c r="AH11" s="96">
        <v>365000</v>
      </c>
      <c r="AI11" s="18"/>
      <c r="AJ11" s="18"/>
      <c r="AK11" s="18"/>
      <c r="AL11" s="18"/>
      <c r="AM11" s="18">
        <v>70000</v>
      </c>
      <c r="AN11" s="13"/>
      <c r="AO11" s="13">
        <v>70000</v>
      </c>
      <c r="AP11" s="13"/>
      <c r="AQ11" s="22"/>
      <c r="AR11" s="13">
        <f>100000+250000</f>
        <v>350000</v>
      </c>
      <c r="AS11" s="13"/>
      <c r="AT11" s="13">
        <v>500000</v>
      </c>
    </row>
    <row r="12" spans="1:46" x14ac:dyDescent="0.25">
      <c r="A12" s="75" t="s">
        <v>140</v>
      </c>
      <c r="B12" s="96">
        <v>50000</v>
      </c>
      <c r="C12" s="96"/>
      <c r="D12" s="96"/>
      <c r="E12" s="96"/>
      <c r="F12" s="96"/>
      <c r="G12" s="96"/>
      <c r="H12" s="96"/>
      <c r="I12" s="96"/>
      <c r="J12" s="96"/>
      <c r="K12" s="96"/>
      <c r="L12" s="96"/>
      <c r="M12" s="96">
        <v>217200</v>
      </c>
      <c r="N12" s="96">
        <v>221770</v>
      </c>
      <c r="O12" s="96">
        <v>220000</v>
      </c>
      <c r="P12" s="96">
        <v>180000</v>
      </c>
      <c r="Q12" s="96">
        <v>165600</v>
      </c>
      <c r="R12" s="96">
        <v>200000</v>
      </c>
      <c r="S12" s="96">
        <v>174000</v>
      </c>
      <c r="T12" s="96">
        <v>154800</v>
      </c>
      <c r="U12" s="96">
        <v>112800</v>
      </c>
      <c r="V12" s="96">
        <v>154000</v>
      </c>
      <c r="W12" s="96">
        <v>70200</v>
      </c>
      <c r="X12" s="96"/>
      <c r="Y12" s="96">
        <v>250000</v>
      </c>
      <c r="Z12" s="96">
        <v>42000</v>
      </c>
      <c r="AA12" s="96"/>
      <c r="AB12" s="96">
        <v>42500</v>
      </c>
      <c r="AC12" s="96"/>
      <c r="AD12" s="96">
        <v>41500</v>
      </c>
      <c r="AE12" s="96"/>
      <c r="AF12" s="96"/>
      <c r="AG12" s="96"/>
      <c r="AH12" s="96"/>
      <c r="AI12" s="18"/>
      <c r="AJ12" s="18"/>
      <c r="AK12" s="18"/>
      <c r="AL12" s="18"/>
      <c r="AM12" s="18"/>
      <c r="AN12" s="13"/>
      <c r="AO12" s="13"/>
      <c r="AP12" s="13"/>
      <c r="AQ12" s="22"/>
      <c r="AR12" s="13"/>
      <c r="AS12" s="13"/>
      <c r="AT12" s="13"/>
    </row>
    <row r="13" spans="1:46" ht="30" x14ac:dyDescent="0.25">
      <c r="A13" s="34" t="s">
        <v>945</v>
      </c>
      <c r="B13" s="96"/>
      <c r="C13" s="96"/>
      <c r="D13" s="96"/>
      <c r="E13" s="96"/>
      <c r="F13" s="96"/>
      <c r="G13" s="96"/>
      <c r="H13" s="96"/>
      <c r="I13" s="96"/>
      <c r="J13" s="96"/>
      <c r="K13" s="96"/>
      <c r="L13" s="96"/>
      <c r="M13" s="96"/>
      <c r="N13" s="96"/>
      <c r="O13" s="96"/>
      <c r="P13" s="96"/>
      <c r="Q13" s="96"/>
      <c r="R13" s="96"/>
      <c r="S13" s="96"/>
      <c r="T13" s="96"/>
      <c r="U13" s="96"/>
      <c r="V13" s="96">
        <v>1000000</v>
      </c>
      <c r="W13" s="96"/>
      <c r="X13" s="96"/>
      <c r="Y13" s="96"/>
      <c r="Z13" s="96"/>
      <c r="AA13" s="96"/>
      <c r="AB13" s="96"/>
      <c r="AC13" s="96">
        <v>185540</v>
      </c>
      <c r="AD13" s="96"/>
      <c r="AE13" s="96"/>
      <c r="AF13" s="96"/>
      <c r="AG13" s="96"/>
      <c r="AH13" s="96"/>
      <c r="AI13" s="18"/>
      <c r="AJ13" s="18"/>
      <c r="AK13" s="18"/>
      <c r="AL13" s="18"/>
      <c r="AM13" s="18"/>
      <c r="AN13" s="13"/>
      <c r="AO13" s="13"/>
      <c r="AP13" s="13"/>
      <c r="AQ13" s="22"/>
      <c r="AR13" s="13"/>
      <c r="AS13" s="13"/>
      <c r="AT13" s="13"/>
    </row>
    <row r="14" spans="1:46" x14ac:dyDescent="0.25">
      <c r="A14" s="34" t="s">
        <v>763</v>
      </c>
      <c r="B14" s="96">
        <v>40000</v>
      </c>
      <c r="C14" s="96"/>
      <c r="D14" s="96"/>
      <c r="E14" s="96"/>
      <c r="F14" s="96"/>
      <c r="G14" s="96">
        <v>406000</v>
      </c>
      <c r="H14" s="96"/>
      <c r="I14" s="96"/>
      <c r="J14" s="96"/>
      <c r="K14" s="96"/>
      <c r="L14" s="96"/>
      <c r="M14" s="96">
        <v>1542000</v>
      </c>
      <c r="N14" s="96">
        <v>1567000</v>
      </c>
      <c r="O14" s="96">
        <v>1567000</v>
      </c>
      <c r="P14" s="96">
        <v>1300000</v>
      </c>
      <c r="Q14" s="96">
        <v>1292000</v>
      </c>
      <c r="R14" s="96">
        <v>1300000</v>
      </c>
      <c r="S14" s="96">
        <v>1366000</v>
      </c>
      <c r="T14" s="96">
        <v>1010000</v>
      </c>
      <c r="U14" s="96">
        <v>550000</v>
      </c>
      <c r="V14" s="96"/>
      <c r="W14" s="96">
        <v>504500</v>
      </c>
      <c r="X14" s="96"/>
      <c r="Y14" s="96">
        <v>1600000</v>
      </c>
      <c r="Z14" s="96">
        <v>758000</v>
      </c>
      <c r="AA14" s="96"/>
      <c r="AB14" s="96">
        <v>964000</v>
      </c>
      <c r="AC14" s="96">
        <v>1148000</v>
      </c>
      <c r="AD14" s="96">
        <v>1364000</v>
      </c>
      <c r="AE14" s="96">
        <v>1497000</v>
      </c>
      <c r="AF14" s="96">
        <v>1500000</v>
      </c>
      <c r="AG14" s="96">
        <v>3150000</v>
      </c>
      <c r="AH14" s="96">
        <v>3525000</v>
      </c>
      <c r="AI14" s="18">
        <v>2965000</v>
      </c>
      <c r="AJ14" s="18">
        <v>4725000</v>
      </c>
      <c r="AK14" s="18">
        <v>4500000</v>
      </c>
      <c r="AL14" s="18">
        <v>4425000</v>
      </c>
      <c r="AM14" s="18">
        <v>3650000</v>
      </c>
      <c r="AN14" s="13">
        <v>3580000</v>
      </c>
      <c r="AO14" s="13">
        <v>3650000</v>
      </c>
      <c r="AP14" s="13"/>
      <c r="AQ14" s="13"/>
      <c r="AR14" s="13">
        <v>3800000</v>
      </c>
      <c r="AS14" s="13"/>
      <c r="AT14" s="13">
        <v>6377400</v>
      </c>
    </row>
    <row r="15" spans="1:46" x14ac:dyDescent="0.25">
      <c r="A15" s="34" t="s">
        <v>764</v>
      </c>
      <c r="B15" s="96"/>
      <c r="C15" s="96"/>
      <c r="D15" s="96"/>
      <c r="E15" s="96"/>
      <c r="F15" s="96"/>
      <c r="G15" s="96"/>
      <c r="H15" s="96"/>
      <c r="I15" s="96"/>
      <c r="J15" s="96"/>
      <c r="K15" s="96"/>
      <c r="L15" s="96"/>
      <c r="M15" s="96"/>
      <c r="N15" s="96"/>
      <c r="O15" s="96"/>
      <c r="P15" s="96"/>
      <c r="Q15" s="96"/>
      <c r="R15" s="96"/>
      <c r="S15" s="96"/>
      <c r="T15" s="96"/>
      <c r="U15" s="96"/>
      <c r="V15" s="96"/>
      <c r="W15" s="96"/>
      <c r="X15" s="96"/>
      <c r="Y15" s="96"/>
      <c r="Z15" s="96"/>
      <c r="AA15" s="96"/>
      <c r="AB15" s="96">
        <v>484000</v>
      </c>
      <c r="AC15" s="96"/>
      <c r="AD15" s="96">
        <v>651000</v>
      </c>
      <c r="AE15" s="96">
        <v>766000</v>
      </c>
      <c r="AF15" s="96">
        <v>800000</v>
      </c>
      <c r="AG15" s="96">
        <v>592000</v>
      </c>
      <c r="AH15" s="96">
        <v>705000</v>
      </c>
      <c r="AI15" s="18">
        <v>905000</v>
      </c>
      <c r="AJ15" s="18">
        <v>945000</v>
      </c>
      <c r="AK15" s="18">
        <v>1000000</v>
      </c>
      <c r="AL15" s="18">
        <v>885000</v>
      </c>
      <c r="AM15" s="18">
        <v>750000</v>
      </c>
      <c r="AN15" s="13">
        <v>720000</v>
      </c>
      <c r="AO15" s="13">
        <v>750000</v>
      </c>
      <c r="AP15" s="13"/>
      <c r="AQ15" s="13"/>
      <c r="AR15" s="13">
        <v>800000</v>
      </c>
      <c r="AS15" s="13"/>
      <c r="AT15" s="13"/>
    </row>
    <row r="16" spans="1:46" x14ac:dyDescent="0.25">
      <c r="A16" s="34" t="s">
        <v>765</v>
      </c>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v>518400</v>
      </c>
      <c r="AH16" s="96"/>
      <c r="AI16" s="18">
        <v>696800</v>
      </c>
      <c r="AJ16" s="18">
        <v>755200</v>
      </c>
      <c r="AK16" s="18">
        <v>700000</v>
      </c>
      <c r="AL16" s="18">
        <v>700800</v>
      </c>
      <c r="AM16" s="18">
        <v>700000</v>
      </c>
      <c r="AN16" s="13">
        <v>582400</v>
      </c>
      <c r="AO16" s="13">
        <v>700000</v>
      </c>
      <c r="AP16" s="13"/>
      <c r="AQ16" s="13"/>
      <c r="AR16" s="13">
        <v>650000</v>
      </c>
      <c r="AS16" s="13"/>
      <c r="AT16" s="13"/>
    </row>
    <row r="17" spans="1:46" x14ac:dyDescent="0.25">
      <c r="A17" s="34" t="s">
        <v>1026</v>
      </c>
      <c r="B17" s="96"/>
      <c r="C17" s="96"/>
      <c r="D17" s="96"/>
      <c r="E17" s="96"/>
      <c r="F17" s="96"/>
      <c r="G17" s="96"/>
      <c r="H17" s="96"/>
      <c r="I17" s="96"/>
      <c r="J17" s="96"/>
      <c r="K17" s="96"/>
      <c r="L17" s="96"/>
      <c r="M17" s="96"/>
      <c r="N17" s="96">
        <v>151488</v>
      </c>
      <c r="O17" s="96">
        <v>869875</v>
      </c>
      <c r="P17" s="96">
        <v>682700</v>
      </c>
      <c r="Q17" s="96">
        <v>1119398</v>
      </c>
      <c r="R17" s="96">
        <v>1200000</v>
      </c>
      <c r="S17" s="96">
        <v>1140270</v>
      </c>
      <c r="T17" s="96">
        <v>1303166</v>
      </c>
      <c r="U17" s="96">
        <v>828932</v>
      </c>
      <c r="V17" s="96">
        <v>1300000</v>
      </c>
      <c r="W17" s="96">
        <v>2216880</v>
      </c>
      <c r="X17" s="96"/>
      <c r="Y17" s="96">
        <v>2300000</v>
      </c>
      <c r="Z17" s="96">
        <v>1172540</v>
      </c>
      <c r="AA17" s="96"/>
      <c r="AB17" s="96"/>
      <c r="AC17" s="96"/>
      <c r="AD17" s="96"/>
      <c r="AE17" s="96"/>
      <c r="AF17" s="96"/>
      <c r="AG17" s="96"/>
      <c r="AH17" s="96"/>
      <c r="AI17" s="18"/>
      <c r="AJ17" s="18"/>
      <c r="AK17" s="18"/>
      <c r="AL17" s="18"/>
      <c r="AM17" s="18"/>
      <c r="AN17" s="13"/>
      <c r="AO17" s="13"/>
      <c r="AP17" s="13"/>
      <c r="AQ17" s="13"/>
      <c r="AR17" s="13"/>
      <c r="AS17" s="13"/>
      <c r="AT17" s="13"/>
    </row>
    <row r="18" spans="1:46" ht="30" x14ac:dyDescent="0.25">
      <c r="A18" s="34" t="s">
        <v>1027</v>
      </c>
      <c r="B18" s="96"/>
      <c r="C18" s="96"/>
      <c r="D18" s="96"/>
      <c r="E18" s="96"/>
      <c r="F18" s="96"/>
      <c r="G18" s="96"/>
      <c r="H18" s="96"/>
      <c r="I18" s="96"/>
      <c r="J18" s="96"/>
      <c r="K18" s="96"/>
      <c r="L18" s="96"/>
      <c r="M18" s="96"/>
      <c r="N18" s="96"/>
      <c r="O18" s="96"/>
      <c r="P18" s="96"/>
      <c r="Q18" s="96"/>
      <c r="R18" s="96"/>
      <c r="S18" s="96"/>
      <c r="T18" s="96"/>
      <c r="U18" s="96"/>
      <c r="V18" s="96"/>
      <c r="W18" s="96"/>
      <c r="X18" s="96"/>
      <c r="Y18" s="96"/>
      <c r="Z18" s="96"/>
      <c r="AA18" s="96"/>
      <c r="AB18" s="96">
        <v>208000</v>
      </c>
      <c r="AC18" s="96"/>
      <c r="AD18" s="96">
        <v>50000</v>
      </c>
      <c r="AE18" s="96"/>
      <c r="AF18" s="96"/>
      <c r="AG18" s="96">
        <v>290000</v>
      </c>
      <c r="AH18" s="96">
        <v>496000</v>
      </c>
      <c r="AI18" s="18">
        <v>142000</v>
      </c>
      <c r="AJ18" s="18">
        <v>62000</v>
      </c>
      <c r="AK18" s="18">
        <v>200000</v>
      </c>
      <c r="AL18" s="18"/>
      <c r="AM18" s="18">
        <v>450000</v>
      </c>
      <c r="AN18" s="13">
        <v>182000</v>
      </c>
      <c r="AO18" s="13">
        <v>450000</v>
      </c>
      <c r="AP18" s="13"/>
      <c r="AQ18" s="13"/>
      <c r="AR18" s="13">
        <v>300000</v>
      </c>
      <c r="AS18" s="13"/>
      <c r="AT18" s="13">
        <v>344000</v>
      </c>
    </row>
    <row r="19" spans="1:46" ht="45" x14ac:dyDescent="0.25">
      <c r="A19" s="35" t="s">
        <v>1028</v>
      </c>
      <c r="B19" s="96"/>
      <c r="C19" s="96"/>
      <c r="D19" s="96"/>
      <c r="E19" s="96"/>
      <c r="F19" s="96"/>
      <c r="G19" s="96"/>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18"/>
      <c r="AJ19" s="18"/>
      <c r="AK19" s="18"/>
      <c r="AL19" s="18">
        <v>350000</v>
      </c>
      <c r="AM19" s="18"/>
      <c r="AN19" s="13"/>
      <c r="AO19" s="13"/>
      <c r="AP19" s="13"/>
      <c r="AQ19" s="13"/>
      <c r="AR19" s="13"/>
      <c r="AS19" s="13"/>
      <c r="AT19" s="13"/>
    </row>
    <row r="20" spans="1:46" x14ac:dyDescent="0.25">
      <c r="A20" s="153" t="s">
        <v>734</v>
      </c>
      <c r="B20" s="96"/>
      <c r="C20" s="96"/>
      <c r="D20" s="96"/>
      <c r="E20" s="96"/>
      <c r="F20" s="96"/>
      <c r="G20" s="96"/>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18"/>
      <c r="AJ20" s="18"/>
      <c r="AK20" s="18"/>
      <c r="AL20" s="18"/>
      <c r="AM20" s="18"/>
      <c r="AN20" s="13"/>
      <c r="AO20" s="13"/>
      <c r="AP20" s="13"/>
      <c r="AQ20" s="13"/>
      <c r="AR20" s="13"/>
      <c r="AS20" s="13"/>
      <c r="AT20" s="13">
        <v>55000</v>
      </c>
    </row>
    <row r="21" spans="1:46" x14ac:dyDescent="0.25">
      <c r="A21" s="153" t="s">
        <v>735</v>
      </c>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18"/>
      <c r="AJ21" s="18"/>
      <c r="AK21" s="18"/>
      <c r="AL21" s="18"/>
      <c r="AM21" s="18"/>
      <c r="AN21" s="13"/>
      <c r="AO21" s="13"/>
      <c r="AP21" s="13"/>
      <c r="AQ21" s="13"/>
      <c r="AR21" s="13"/>
      <c r="AS21" s="13"/>
      <c r="AT21" s="13">
        <v>2500</v>
      </c>
    </row>
    <row r="22" spans="1:46" x14ac:dyDescent="0.25">
      <c r="A22" s="153" t="s">
        <v>736</v>
      </c>
      <c r="B22" s="96"/>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v>15000</v>
      </c>
      <c r="AI22" s="18">
        <v>10000</v>
      </c>
      <c r="AJ22" s="18">
        <v>10000</v>
      </c>
      <c r="AK22" s="18">
        <f>10000</f>
        <v>10000</v>
      </c>
      <c r="AL22" s="18">
        <v>65000</v>
      </c>
      <c r="AM22" s="18">
        <f>30000+20000</f>
        <v>50000</v>
      </c>
      <c r="AN22" s="13"/>
      <c r="AO22" s="13">
        <f>30000+20000</f>
        <v>50000</v>
      </c>
      <c r="AP22" s="13"/>
      <c r="AQ22" s="13"/>
      <c r="AR22" s="13"/>
      <c r="AS22" s="13"/>
      <c r="AT22" s="13"/>
    </row>
    <row r="23" spans="1:46" x14ac:dyDescent="0.25">
      <c r="A23" s="153" t="s">
        <v>115</v>
      </c>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v>210000</v>
      </c>
      <c r="AC23" s="96"/>
      <c r="AD23" s="96"/>
      <c r="AE23" s="96"/>
      <c r="AF23" s="96"/>
      <c r="AG23" s="96"/>
      <c r="AH23" s="96">
        <v>100000</v>
      </c>
      <c r="AI23" s="18">
        <v>100000</v>
      </c>
      <c r="AJ23" s="18">
        <v>160000</v>
      </c>
      <c r="AK23" s="18">
        <v>100000</v>
      </c>
      <c r="AL23" s="18">
        <v>160000</v>
      </c>
      <c r="AM23" s="18">
        <v>180000</v>
      </c>
      <c r="AN23" s="13">
        <v>20000</v>
      </c>
      <c r="AO23" s="13">
        <v>180000</v>
      </c>
      <c r="AP23" s="13"/>
      <c r="AQ23" s="13"/>
      <c r="AR23" s="13">
        <v>100000</v>
      </c>
      <c r="AS23" s="13"/>
      <c r="AT23" s="13">
        <v>420000</v>
      </c>
    </row>
    <row r="24" spans="1:46" x14ac:dyDescent="0.25">
      <c r="A24" s="154" t="s">
        <v>766</v>
      </c>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v>117040</v>
      </c>
      <c r="AE24" s="96"/>
      <c r="AF24" s="96"/>
      <c r="AG24" s="96"/>
      <c r="AH24" s="96"/>
      <c r="AI24" s="18"/>
      <c r="AJ24" s="18"/>
      <c r="AK24" s="18"/>
      <c r="AL24" s="18"/>
      <c r="AM24" s="18"/>
      <c r="AN24" s="13"/>
      <c r="AO24" s="13"/>
      <c r="AP24" s="13"/>
      <c r="AQ24" s="13"/>
      <c r="AR24" s="13"/>
      <c r="AS24" s="13"/>
      <c r="AT24" s="13"/>
    </row>
    <row r="25" spans="1:46" x14ac:dyDescent="0.25">
      <c r="A25" s="153" t="s">
        <v>737</v>
      </c>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18"/>
      <c r="AJ25" s="18"/>
      <c r="AK25" s="18"/>
      <c r="AL25" s="18"/>
      <c r="AM25" s="18">
        <v>40000</v>
      </c>
      <c r="AN25" s="13">
        <v>40000</v>
      </c>
      <c r="AO25" s="13">
        <v>40000</v>
      </c>
      <c r="AP25" s="13"/>
      <c r="AQ25" s="13"/>
      <c r="AR25" s="13">
        <v>30000</v>
      </c>
      <c r="AS25" s="13"/>
      <c r="AT25" s="13">
        <v>50000</v>
      </c>
    </row>
    <row r="26" spans="1:46" x14ac:dyDescent="0.25">
      <c r="A26" s="153" t="s">
        <v>738</v>
      </c>
      <c r="B26" s="96"/>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18"/>
      <c r="AJ26" s="18"/>
      <c r="AK26" s="18"/>
      <c r="AL26" s="18">
        <v>7620</v>
      </c>
      <c r="AM26" s="18"/>
      <c r="AN26" s="13"/>
      <c r="AO26" s="13"/>
      <c r="AP26" s="13"/>
      <c r="AQ26" s="13"/>
      <c r="AR26" s="13"/>
      <c r="AS26" s="13"/>
      <c r="AT26" s="13"/>
    </row>
    <row r="27" spans="1:46" x14ac:dyDescent="0.25">
      <c r="A27" s="83" t="s">
        <v>906</v>
      </c>
      <c r="B27" s="96"/>
      <c r="C27" s="96"/>
      <c r="D27" s="96"/>
      <c r="E27" s="96"/>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18"/>
      <c r="AJ27" s="18"/>
      <c r="AK27" s="18">
        <v>100000</v>
      </c>
      <c r="AL27" s="18">
        <v>20000</v>
      </c>
      <c r="AM27" s="18">
        <v>100000</v>
      </c>
      <c r="AN27" s="13">
        <v>30000</v>
      </c>
      <c r="AO27" s="13">
        <v>100000</v>
      </c>
      <c r="AP27" s="13"/>
      <c r="AQ27" s="13"/>
      <c r="AR27" s="13">
        <v>20000</v>
      </c>
      <c r="AS27" s="13"/>
      <c r="AT27" s="13">
        <v>30000</v>
      </c>
    </row>
    <row r="28" spans="1:46" x14ac:dyDescent="0.25">
      <c r="A28" s="34" t="s">
        <v>908</v>
      </c>
      <c r="B28" s="96"/>
      <c r="C28" s="96"/>
      <c r="D28" s="96"/>
      <c r="E28" s="96"/>
      <c r="F28" s="96"/>
      <c r="G28" s="96"/>
      <c r="H28" s="96"/>
      <c r="I28" s="96"/>
      <c r="J28" s="96"/>
      <c r="K28" s="96"/>
      <c r="L28" s="96">
        <v>128000</v>
      </c>
      <c r="M28" s="96">
        <v>176000</v>
      </c>
      <c r="N28" s="96"/>
      <c r="O28" s="96"/>
      <c r="P28" s="96"/>
      <c r="Q28" s="96"/>
      <c r="R28" s="96"/>
      <c r="S28" s="96"/>
      <c r="T28" s="96"/>
      <c r="U28" s="96"/>
      <c r="V28" s="96"/>
      <c r="W28" s="96"/>
      <c r="X28" s="96"/>
      <c r="Y28" s="96"/>
      <c r="Z28" s="96"/>
      <c r="AA28" s="96"/>
      <c r="AB28" s="96"/>
      <c r="AC28" s="96"/>
      <c r="AD28" s="96">
        <v>46000</v>
      </c>
      <c r="AE28" s="96">
        <v>185000</v>
      </c>
      <c r="AF28" s="96"/>
      <c r="AG28" s="96">
        <v>105000</v>
      </c>
      <c r="AH28" s="96">
        <f>778000+30000</f>
        <v>808000</v>
      </c>
      <c r="AI28" s="18">
        <v>661000</v>
      </c>
      <c r="AJ28" s="29">
        <v>720000</v>
      </c>
      <c r="AK28" s="18">
        <f>700000+200000</f>
        <v>900000</v>
      </c>
      <c r="AL28" s="18">
        <v>1197000</v>
      </c>
      <c r="AM28" s="18">
        <f>800000+500000</f>
        <v>1300000</v>
      </c>
      <c r="AN28" s="13">
        <f>571000</f>
        <v>571000</v>
      </c>
      <c r="AO28" s="13">
        <f>800000+500000</f>
        <v>1300000</v>
      </c>
      <c r="AP28" s="13"/>
      <c r="AQ28" s="13"/>
      <c r="AR28" s="13">
        <f>120000+500000+40000</f>
        <v>660000</v>
      </c>
      <c r="AS28" s="13"/>
      <c r="AT28" s="13">
        <f>1020000+30000+50000+50000</f>
        <v>1150000</v>
      </c>
    </row>
    <row r="29" spans="1:46" x14ac:dyDescent="0.25">
      <c r="A29" s="34" t="s">
        <v>1029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v>550000</v>
      </c>
      <c r="AH29" s="96">
        <v>575000</v>
      </c>
      <c r="AI29" s="18">
        <v>575000</v>
      </c>
      <c r="AJ29" s="18">
        <v>500000</v>
      </c>
      <c r="AK29" s="18">
        <v>500000</v>
      </c>
      <c r="AL29" s="18">
        <v>550000</v>
      </c>
      <c r="AM29" s="18">
        <v>200000</v>
      </c>
      <c r="AN29" s="13">
        <v>200000</v>
      </c>
      <c r="AO29" s="13">
        <v>200000</v>
      </c>
      <c r="AP29" s="13"/>
      <c r="AQ29" s="13"/>
      <c r="AR29" s="13">
        <v>200000</v>
      </c>
      <c r="AS29" s="13"/>
      <c r="AT29" s="13">
        <v>100000</v>
      </c>
    </row>
    <row r="30" spans="1:46" x14ac:dyDescent="0.25">
      <c r="A30" s="153" t="s">
        <v>739</v>
      </c>
      <c r="B30" s="96"/>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v>65000</v>
      </c>
      <c r="AI30" s="18">
        <v>40000</v>
      </c>
      <c r="AJ30" s="18">
        <v>40000</v>
      </c>
      <c r="AK30" s="18">
        <v>50000</v>
      </c>
      <c r="AL30" s="18"/>
      <c r="AM30" s="18"/>
      <c r="AN30" s="13"/>
      <c r="AO30" s="13"/>
      <c r="AP30" s="13"/>
      <c r="AQ30" s="13"/>
      <c r="AR30" s="13"/>
      <c r="AS30" s="13"/>
      <c r="AT30" s="13"/>
    </row>
    <row r="31" spans="1:46" x14ac:dyDescent="0.25">
      <c r="A31" s="34" t="s">
        <v>767</v>
      </c>
      <c r="B31" s="96"/>
      <c r="C31" s="96"/>
      <c r="D31" s="96"/>
      <c r="E31" s="96"/>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v>150000</v>
      </c>
      <c r="AH31" s="96">
        <v>90000</v>
      </c>
      <c r="AI31" s="18"/>
      <c r="AJ31" s="18"/>
      <c r="AK31" s="18"/>
      <c r="AL31" s="18"/>
      <c r="AM31" s="18"/>
      <c r="AN31" s="13"/>
      <c r="AO31" s="13"/>
      <c r="AP31" s="13"/>
      <c r="AQ31" s="13"/>
      <c r="AR31" s="13"/>
      <c r="AS31" s="13"/>
      <c r="AT31" s="13"/>
    </row>
    <row r="32" spans="1:46" x14ac:dyDescent="0.25">
      <c r="A32" s="34" t="s">
        <v>604</v>
      </c>
      <c r="B32" s="96"/>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18"/>
      <c r="AJ32" s="18"/>
      <c r="AK32" s="18"/>
      <c r="AL32" s="18"/>
      <c r="AM32" s="18"/>
      <c r="AN32" s="13"/>
      <c r="AO32" s="13"/>
      <c r="AP32" s="13"/>
      <c r="AQ32" s="13"/>
      <c r="AR32" s="13"/>
      <c r="AS32" s="13"/>
      <c r="AT32" s="13">
        <v>60000</v>
      </c>
    </row>
    <row r="33" spans="1:46" x14ac:dyDescent="0.25">
      <c r="A33" s="34" t="s">
        <v>768</v>
      </c>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v>267500</v>
      </c>
      <c r="AH33" s="96"/>
      <c r="AI33" s="18"/>
      <c r="AJ33" s="18"/>
      <c r="AK33" s="18"/>
      <c r="AL33" s="18"/>
      <c r="AM33" s="18"/>
      <c r="AN33" s="13"/>
      <c r="AO33" s="13"/>
      <c r="AP33" s="13"/>
      <c r="AQ33" s="13"/>
      <c r="AR33" s="13"/>
      <c r="AS33" s="13"/>
      <c r="AT33" s="13"/>
    </row>
    <row r="34" spans="1:46" x14ac:dyDescent="0.25">
      <c r="A34" s="34" t="s">
        <v>1030</v>
      </c>
      <c r="B34" s="96"/>
      <c r="C34" s="96"/>
      <c r="D34" s="96"/>
      <c r="E34" s="96"/>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v>10000</v>
      </c>
      <c r="AH34" s="96"/>
      <c r="AI34" s="18">
        <v>100000</v>
      </c>
      <c r="AJ34" s="18"/>
      <c r="AK34" s="18"/>
      <c r="AL34" s="18"/>
      <c r="AM34" s="18"/>
      <c r="AN34" s="13"/>
      <c r="AO34" s="13"/>
      <c r="AP34" s="13"/>
      <c r="AQ34" s="13"/>
      <c r="AR34" s="13">
        <v>40000</v>
      </c>
      <c r="AS34" s="13"/>
      <c r="AT34" s="13">
        <v>80000</v>
      </c>
    </row>
    <row r="35" spans="1:46" x14ac:dyDescent="0.25">
      <c r="A35" s="34" t="s">
        <v>603</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H35" s="96"/>
      <c r="AI35" s="18"/>
      <c r="AJ35" s="18"/>
      <c r="AK35" s="18"/>
      <c r="AL35" s="18"/>
      <c r="AM35" s="18"/>
      <c r="AN35" s="13"/>
      <c r="AO35" s="13"/>
      <c r="AP35" s="13"/>
      <c r="AQ35" s="13"/>
      <c r="AR35" s="13"/>
      <c r="AS35" s="13"/>
      <c r="AT35" s="13">
        <f>20000+20000</f>
        <v>40000</v>
      </c>
    </row>
    <row r="36" spans="1:46" x14ac:dyDescent="0.25">
      <c r="A36" s="35" t="s">
        <v>785</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v>150000</v>
      </c>
      <c r="AH36" s="96">
        <f>60000+60000</f>
        <v>120000</v>
      </c>
      <c r="AI36" s="18">
        <v>60000</v>
      </c>
      <c r="AJ36" s="18">
        <v>90000</v>
      </c>
      <c r="AK36" s="18">
        <v>60000</v>
      </c>
      <c r="AL36" s="18">
        <v>175000</v>
      </c>
      <c r="AM36" s="18">
        <v>120000</v>
      </c>
      <c r="AN36" s="13">
        <v>290000</v>
      </c>
      <c r="AO36" s="13">
        <v>120000</v>
      </c>
      <c r="AP36" s="13"/>
      <c r="AQ36" s="13"/>
      <c r="AR36" s="13">
        <v>210000</v>
      </c>
      <c r="AS36" s="13"/>
      <c r="AT36" s="13">
        <v>120000</v>
      </c>
    </row>
    <row r="37" spans="1:46" x14ac:dyDescent="0.25">
      <c r="A37" s="34" t="s">
        <v>1371</v>
      </c>
      <c r="B37" s="96">
        <v>18000</v>
      </c>
      <c r="C37" s="96"/>
      <c r="D37" s="96"/>
      <c r="E37" s="96"/>
      <c r="F37" s="96">
        <v>24000</v>
      </c>
      <c r="G37" s="96"/>
      <c r="H37" s="96"/>
      <c r="I37" s="96">
        <v>42000</v>
      </c>
      <c r="J37" s="96">
        <v>89000</v>
      </c>
      <c r="K37" s="96">
        <v>56000</v>
      </c>
      <c r="L37" s="96"/>
      <c r="M37" s="96"/>
      <c r="N37" s="96"/>
      <c r="O37" s="96"/>
      <c r="P37" s="96"/>
      <c r="Q37" s="96"/>
      <c r="R37" s="96"/>
      <c r="S37" s="96"/>
      <c r="T37" s="96"/>
      <c r="U37" s="96"/>
      <c r="V37" s="96"/>
      <c r="W37" s="96"/>
      <c r="X37" s="96"/>
      <c r="Y37" s="96"/>
      <c r="Z37" s="96"/>
      <c r="AA37" s="96"/>
      <c r="AB37" s="96"/>
      <c r="AC37" s="96"/>
      <c r="AD37" s="96">
        <v>64000</v>
      </c>
      <c r="AE37" s="96"/>
      <c r="AF37" s="96"/>
      <c r="AG37" s="96">
        <v>284000</v>
      </c>
      <c r="AH37" s="96">
        <f>20000+572000</f>
        <v>592000</v>
      </c>
      <c r="AI37" s="18">
        <v>286000</v>
      </c>
      <c r="AJ37" s="18">
        <v>636000</v>
      </c>
      <c r="AK37" s="18">
        <f>300000+20000</f>
        <v>320000</v>
      </c>
      <c r="AL37" s="18"/>
      <c r="AM37" s="18">
        <v>350000</v>
      </c>
      <c r="AN37" s="13">
        <v>128000</v>
      </c>
      <c r="AO37" s="13">
        <v>350000</v>
      </c>
      <c r="AP37" s="13"/>
      <c r="AQ37" s="13"/>
      <c r="AR37" s="13">
        <v>300000</v>
      </c>
      <c r="AS37" s="13"/>
      <c r="AT37" s="13">
        <f>334000+65000</f>
        <v>399000</v>
      </c>
    </row>
    <row r="38" spans="1:46" x14ac:dyDescent="0.25">
      <c r="A38" s="35" t="s">
        <v>947</v>
      </c>
      <c r="B38" s="96"/>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18"/>
      <c r="AJ38" s="18"/>
      <c r="AK38" s="18"/>
      <c r="AL38" s="18">
        <v>90000</v>
      </c>
      <c r="AM38" s="18">
        <v>40000</v>
      </c>
      <c r="AN38" s="13">
        <v>30000</v>
      </c>
      <c r="AO38" s="13">
        <f>40000</f>
        <v>40000</v>
      </c>
      <c r="AP38" s="13"/>
      <c r="AQ38" s="13"/>
      <c r="AR38" s="13">
        <v>100000</v>
      </c>
      <c r="AS38" s="13"/>
      <c r="AT38" s="13"/>
    </row>
    <row r="39" spans="1:46" x14ac:dyDescent="0.25">
      <c r="A39" s="34" t="s">
        <v>946</v>
      </c>
      <c r="B39" s="96"/>
      <c r="C39" s="96"/>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v>15000</v>
      </c>
      <c r="AE39" s="96"/>
      <c r="AF39" s="96"/>
      <c r="AG39" s="96"/>
      <c r="AH39" s="96"/>
      <c r="AI39" s="18"/>
      <c r="AJ39" s="18"/>
      <c r="AK39" s="18"/>
      <c r="AL39" s="18"/>
      <c r="AM39" s="18"/>
      <c r="AN39" s="13"/>
      <c r="AO39" s="13"/>
      <c r="AP39" s="13"/>
      <c r="AQ39" s="13"/>
      <c r="AR39" s="13"/>
      <c r="AS39" s="13"/>
      <c r="AT39" s="13"/>
    </row>
    <row r="40" spans="1:46" x14ac:dyDescent="0.25">
      <c r="A40" s="34" t="s">
        <v>1031</v>
      </c>
      <c r="B40" s="96"/>
      <c r="C40" s="96"/>
      <c r="D40" s="96"/>
      <c r="E40" s="96"/>
      <c r="F40" s="96"/>
      <c r="G40" s="96"/>
      <c r="H40" s="96"/>
      <c r="I40" s="96"/>
      <c r="J40" s="96"/>
      <c r="K40" s="96"/>
      <c r="L40" s="96"/>
      <c r="M40" s="96"/>
      <c r="N40" s="96"/>
      <c r="O40" s="96"/>
      <c r="P40" s="96"/>
      <c r="Q40" s="96"/>
      <c r="R40" s="96"/>
      <c r="S40" s="96"/>
      <c r="T40" s="96"/>
      <c r="U40" s="96"/>
      <c r="V40" s="96"/>
      <c r="W40" s="96"/>
      <c r="X40" s="96"/>
      <c r="Y40" s="96"/>
      <c r="Z40" s="96"/>
      <c r="AA40" s="96"/>
      <c r="AB40" s="96"/>
      <c r="AC40" s="96"/>
      <c r="AD40" s="96"/>
      <c r="AE40" s="96"/>
      <c r="AF40" s="96"/>
      <c r="AG40" s="96">
        <v>60000</v>
      </c>
      <c r="AH40" s="96"/>
      <c r="AI40" s="18"/>
      <c r="AJ40" s="18">
        <v>80000</v>
      </c>
      <c r="AK40" s="18"/>
      <c r="AL40" s="18"/>
      <c r="AM40" s="18"/>
      <c r="AN40" s="13"/>
      <c r="AO40" s="13"/>
      <c r="AP40" s="13"/>
      <c r="AQ40" s="13"/>
      <c r="AR40" s="13"/>
      <c r="AS40" s="13"/>
      <c r="AT40" s="13"/>
    </row>
    <row r="41" spans="1:46" ht="30" x14ac:dyDescent="0.25">
      <c r="A41" s="34" t="s">
        <v>948</v>
      </c>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v>241800</v>
      </c>
      <c r="AE41" s="96">
        <v>605000</v>
      </c>
      <c r="AF41" s="96">
        <v>600000</v>
      </c>
      <c r="AG41" s="96">
        <v>675000</v>
      </c>
      <c r="AH41" s="96">
        <v>867800</v>
      </c>
      <c r="AI41" s="18">
        <v>950000</v>
      </c>
      <c r="AJ41" s="18">
        <v>1070000</v>
      </c>
      <c r="AK41" s="18">
        <v>900000</v>
      </c>
      <c r="AL41" s="18">
        <v>910000</v>
      </c>
      <c r="AM41" s="18">
        <f>550000+250000+250000+220000</f>
        <v>1270000</v>
      </c>
      <c r="AN41" s="13">
        <f>480000+525000</f>
        <v>1005000</v>
      </c>
      <c r="AO41" s="13">
        <f>550000+250000+250000+220000</f>
        <v>1270000</v>
      </c>
      <c r="AP41" s="13"/>
      <c r="AQ41" s="13"/>
      <c r="AR41" s="13">
        <v>2000000</v>
      </c>
      <c r="AS41" s="13"/>
      <c r="AT41" s="13">
        <v>3835000</v>
      </c>
    </row>
    <row r="42" spans="1:46" x14ac:dyDescent="0.25">
      <c r="A42" s="153" t="s">
        <v>740</v>
      </c>
      <c r="B42" s="96"/>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18"/>
      <c r="AJ42" s="18"/>
      <c r="AK42" s="18"/>
      <c r="AL42" s="18"/>
      <c r="AM42" s="18"/>
      <c r="AN42" s="13"/>
      <c r="AO42" s="13"/>
      <c r="AP42" s="13"/>
      <c r="AQ42" s="13"/>
      <c r="AR42" s="13"/>
      <c r="AS42" s="13"/>
      <c r="AT42" s="13">
        <v>40000</v>
      </c>
    </row>
    <row r="43" spans="1:46" x14ac:dyDescent="0.25">
      <c r="A43" s="153" t="s">
        <v>1032</v>
      </c>
      <c r="B43" s="96"/>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c r="AE43" s="96"/>
      <c r="AF43" s="96"/>
      <c r="AG43" s="96"/>
      <c r="AH43" s="96">
        <v>60000</v>
      </c>
      <c r="AI43" s="18"/>
      <c r="AJ43" s="18"/>
      <c r="AK43" s="18"/>
      <c r="AL43" s="18"/>
      <c r="AM43" s="18"/>
      <c r="AN43" s="13"/>
      <c r="AO43" s="13"/>
      <c r="AP43" s="13"/>
      <c r="AQ43" s="13"/>
      <c r="AR43" s="13"/>
      <c r="AS43" s="13"/>
      <c r="AT43" s="13">
        <v>90000</v>
      </c>
    </row>
    <row r="44" spans="1:46" x14ac:dyDescent="0.25">
      <c r="A44" s="153" t="s">
        <v>979</v>
      </c>
      <c r="B44" s="96"/>
      <c r="C44" s="96"/>
      <c r="D44" s="96"/>
      <c r="E44" s="96"/>
      <c r="F44" s="96"/>
      <c r="G44" s="96"/>
      <c r="H44" s="96"/>
      <c r="I44" s="96"/>
      <c r="J44" s="96"/>
      <c r="K44" s="96"/>
      <c r="L44" s="96"/>
      <c r="M44" s="96"/>
      <c r="N44" s="96"/>
      <c r="O44" s="96"/>
      <c r="P44" s="96"/>
      <c r="Q44" s="96"/>
      <c r="R44" s="96"/>
      <c r="S44" s="96"/>
      <c r="T44" s="96"/>
      <c r="U44" s="96"/>
      <c r="V44" s="96"/>
      <c r="W44" s="96"/>
      <c r="X44" s="96"/>
      <c r="Y44" s="96"/>
      <c r="Z44" s="96"/>
      <c r="AA44" s="96"/>
      <c r="AB44" s="96"/>
      <c r="AC44" s="96">
        <v>216000</v>
      </c>
      <c r="AD44" s="96"/>
      <c r="AE44" s="96"/>
      <c r="AF44" s="96"/>
      <c r="AG44" s="96"/>
      <c r="AH44" s="96"/>
      <c r="AI44" s="18"/>
      <c r="AJ44" s="18"/>
      <c r="AK44" s="18"/>
      <c r="AL44" s="18"/>
      <c r="AM44" s="18"/>
      <c r="AN44" s="13"/>
      <c r="AO44" s="13"/>
      <c r="AP44" s="13"/>
      <c r="AQ44" s="13"/>
      <c r="AR44" s="13"/>
      <c r="AS44" s="13"/>
      <c r="AT44" s="13"/>
    </row>
    <row r="45" spans="1:46" x14ac:dyDescent="0.25">
      <c r="A45" s="153" t="s">
        <v>741</v>
      </c>
      <c r="B45" s="96"/>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18"/>
      <c r="AJ45" s="18"/>
      <c r="AK45" s="18"/>
      <c r="AL45" s="18"/>
      <c r="AM45" s="18"/>
      <c r="AN45" s="13"/>
      <c r="AO45" s="13"/>
      <c r="AP45" s="13"/>
      <c r="AQ45" s="13"/>
      <c r="AR45" s="13">
        <f>200000+160000</f>
        <v>360000</v>
      </c>
      <c r="AS45" s="13"/>
      <c r="AT45" s="13">
        <f>165000+245000</f>
        <v>410000</v>
      </c>
    </row>
    <row r="46" spans="1:46" x14ac:dyDescent="0.25">
      <c r="A46" s="34" t="s">
        <v>119</v>
      </c>
      <c r="B46" s="96"/>
      <c r="C46" s="96"/>
      <c r="D46" s="96"/>
      <c r="E46" s="96"/>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v>160000</v>
      </c>
      <c r="AI46" s="18"/>
      <c r="AJ46" s="18"/>
      <c r="AK46" s="18"/>
      <c r="AL46" s="18"/>
      <c r="AM46" s="18"/>
      <c r="AN46" s="13"/>
      <c r="AO46" s="13"/>
      <c r="AP46" s="13"/>
      <c r="AQ46" s="13"/>
      <c r="AR46" s="13"/>
      <c r="AS46" s="13"/>
      <c r="AT46" s="13"/>
    </row>
    <row r="47" spans="1:46" x14ac:dyDescent="0.25">
      <c r="A47" s="34" t="s">
        <v>770</v>
      </c>
      <c r="B47" s="96"/>
      <c r="C47" s="9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v>270000</v>
      </c>
      <c r="AF47" s="96">
        <v>400000</v>
      </c>
      <c r="AG47" s="96"/>
      <c r="AH47" s="96"/>
      <c r="AI47" s="18"/>
      <c r="AJ47" s="18"/>
      <c r="AK47" s="18"/>
      <c r="AL47" s="18"/>
      <c r="AM47" s="18"/>
      <c r="AN47" s="13"/>
      <c r="AO47" s="13"/>
      <c r="AP47" s="13"/>
      <c r="AQ47" s="13"/>
      <c r="AR47" s="13"/>
      <c r="AS47" s="13"/>
      <c r="AT47" s="13"/>
    </row>
    <row r="48" spans="1:46" x14ac:dyDescent="0.25">
      <c r="A48" s="34" t="s">
        <v>769</v>
      </c>
      <c r="B48" s="96"/>
      <c r="C48" s="96"/>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v>47000</v>
      </c>
      <c r="AH48" s="96"/>
      <c r="AI48" s="18">
        <v>390000</v>
      </c>
      <c r="AJ48" s="18"/>
      <c r="AK48" s="18">
        <v>400000</v>
      </c>
      <c r="AL48" s="18">
        <v>330000</v>
      </c>
      <c r="AM48" s="18">
        <f>100000+150000</f>
        <v>250000</v>
      </c>
      <c r="AN48" s="13">
        <f>130000+120000</f>
        <v>250000</v>
      </c>
      <c r="AO48" s="13">
        <f>100000+150000</f>
        <v>250000</v>
      </c>
      <c r="AP48" s="13"/>
      <c r="AQ48" s="13"/>
      <c r="AR48" s="13">
        <f>200000+150000</f>
        <v>350000</v>
      </c>
      <c r="AS48" s="13"/>
      <c r="AT48" s="13"/>
    </row>
    <row r="49" spans="1:46" x14ac:dyDescent="0.25">
      <c r="A49" s="75" t="s">
        <v>602</v>
      </c>
      <c r="B49" s="96"/>
      <c r="C49" s="96"/>
      <c r="D49" s="96"/>
      <c r="E49" s="96"/>
      <c r="F49" s="96"/>
      <c r="G49" s="96"/>
      <c r="H49" s="96"/>
      <c r="I49" s="96">
        <v>30000</v>
      </c>
      <c r="J49" s="96"/>
      <c r="K49" s="96"/>
      <c r="L49" s="96"/>
      <c r="M49" s="96"/>
      <c r="N49" s="96"/>
      <c r="O49" s="96"/>
      <c r="P49" s="96"/>
      <c r="Q49" s="96"/>
      <c r="R49" s="96"/>
      <c r="S49" s="96"/>
      <c r="T49" s="96"/>
      <c r="U49" s="96"/>
      <c r="V49" s="96"/>
      <c r="W49" s="96"/>
      <c r="X49" s="96"/>
      <c r="Y49" s="96"/>
      <c r="Z49" s="96"/>
      <c r="AA49" s="96"/>
      <c r="AB49" s="96"/>
      <c r="AC49" s="96"/>
      <c r="AD49" s="96"/>
      <c r="AE49" s="96"/>
      <c r="AF49" s="96"/>
      <c r="AG49" s="96">
        <v>120000</v>
      </c>
      <c r="AH49" s="96">
        <v>90000</v>
      </c>
      <c r="AI49" s="18">
        <v>90000</v>
      </c>
      <c r="AJ49" s="18">
        <v>150000</v>
      </c>
      <c r="AK49" s="18">
        <v>90000</v>
      </c>
      <c r="AL49" s="18">
        <v>380000</v>
      </c>
      <c r="AM49" s="18">
        <v>60000</v>
      </c>
      <c r="AN49" s="13">
        <v>60000</v>
      </c>
      <c r="AO49" s="13">
        <v>60000</v>
      </c>
      <c r="AP49" s="13"/>
      <c r="AQ49" s="13"/>
      <c r="AR49" s="13">
        <v>60000</v>
      </c>
      <c r="AS49" s="13"/>
      <c r="AT49" s="13">
        <f>180000</f>
        <v>180000</v>
      </c>
    </row>
    <row r="50" spans="1:46" x14ac:dyDescent="0.25">
      <c r="A50" s="34" t="s">
        <v>679</v>
      </c>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v>150000</v>
      </c>
      <c r="AE50" s="96"/>
      <c r="AF50" s="96"/>
      <c r="AG50" s="96">
        <v>80000</v>
      </c>
      <c r="AH50" s="96"/>
      <c r="AI50" s="18"/>
      <c r="AJ50" s="18">
        <v>100000</v>
      </c>
      <c r="AK50" s="18">
        <v>100000</v>
      </c>
      <c r="AL50" s="18">
        <v>60000</v>
      </c>
      <c r="AM50" s="18">
        <v>60000</v>
      </c>
      <c r="AN50" s="13">
        <v>60000</v>
      </c>
      <c r="AO50" s="13">
        <v>60000</v>
      </c>
      <c r="AP50" s="13"/>
      <c r="AQ50" s="13"/>
      <c r="AR50" s="13">
        <v>100000</v>
      </c>
      <c r="AS50" s="13"/>
      <c r="AT50" s="13">
        <v>210000</v>
      </c>
    </row>
    <row r="51" spans="1:46" x14ac:dyDescent="0.25">
      <c r="A51" s="153" t="s">
        <v>742</v>
      </c>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v>50000</v>
      </c>
      <c r="AE51" s="96"/>
      <c r="AF51" s="96"/>
      <c r="AG51" s="96">
        <v>80000</v>
      </c>
      <c r="AH51" s="96">
        <v>132000</v>
      </c>
      <c r="AI51" s="18">
        <v>82000</v>
      </c>
      <c r="AJ51" s="18">
        <v>72000</v>
      </c>
      <c r="AK51" s="18">
        <v>120000</v>
      </c>
      <c r="AL51" s="18">
        <v>140000</v>
      </c>
      <c r="AM51" s="18">
        <v>150000</v>
      </c>
      <c r="AN51" s="13">
        <v>90000</v>
      </c>
      <c r="AO51" s="13">
        <v>150000</v>
      </c>
      <c r="AP51" s="13"/>
      <c r="AQ51" s="13"/>
      <c r="AR51" s="13">
        <v>110000</v>
      </c>
      <c r="AS51" s="13"/>
      <c r="AT51" s="13">
        <f>32000+90000+80000</f>
        <v>202000</v>
      </c>
    </row>
    <row r="52" spans="1:46" ht="30" x14ac:dyDescent="0.25">
      <c r="A52" s="153" t="s">
        <v>949</v>
      </c>
      <c r="B52" s="96">
        <v>80000</v>
      </c>
      <c r="C52" s="96">
        <v>10000</v>
      </c>
      <c r="D52" s="96"/>
      <c r="E52" s="96"/>
      <c r="F52" s="96"/>
      <c r="G52" s="96"/>
      <c r="H52" s="96"/>
      <c r="I52" s="96"/>
      <c r="J52" s="96">
        <v>50000</v>
      </c>
      <c r="K52" s="96"/>
      <c r="L52" s="96"/>
      <c r="M52" s="96">
        <v>270400</v>
      </c>
      <c r="N52" s="96">
        <v>238800</v>
      </c>
      <c r="O52" s="96">
        <v>250000</v>
      </c>
      <c r="P52" s="96">
        <v>190000</v>
      </c>
      <c r="Q52" s="96">
        <v>235600</v>
      </c>
      <c r="R52" s="96">
        <v>250000</v>
      </c>
      <c r="S52" s="96">
        <v>260000</v>
      </c>
      <c r="T52" s="96">
        <v>232000</v>
      </c>
      <c r="U52" s="96">
        <v>134400</v>
      </c>
      <c r="V52" s="96">
        <v>234000</v>
      </c>
      <c r="W52" s="96">
        <v>237400</v>
      </c>
      <c r="X52" s="96"/>
      <c r="Y52" s="96">
        <v>650000</v>
      </c>
      <c r="Z52" s="96">
        <v>2035940</v>
      </c>
      <c r="AA52" s="96"/>
      <c r="AB52" s="96">
        <v>403600</v>
      </c>
      <c r="AC52" s="96">
        <v>670000</v>
      </c>
      <c r="AD52" s="96"/>
      <c r="AE52" s="96">
        <v>1640500</v>
      </c>
      <c r="AF52" s="96">
        <v>2400000</v>
      </c>
      <c r="AG52" s="96"/>
      <c r="AH52" s="96"/>
      <c r="AI52" s="18"/>
      <c r="AJ52" s="18"/>
      <c r="AK52" s="18"/>
      <c r="AL52" s="18"/>
      <c r="AM52" s="18"/>
      <c r="AN52" s="13"/>
      <c r="AO52" s="13"/>
      <c r="AP52" s="13"/>
      <c r="AQ52" s="13"/>
      <c r="AR52" s="13"/>
      <c r="AS52" s="13"/>
      <c r="AT52" s="13"/>
    </row>
    <row r="53" spans="1:46" x14ac:dyDescent="0.25">
      <c r="A53" s="153" t="s">
        <v>733</v>
      </c>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18">
        <v>90000</v>
      </c>
      <c r="AJ53" s="18"/>
      <c r="AK53" s="18">
        <f>90000</f>
        <v>90000</v>
      </c>
      <c r="AL53" s="18">
        <v>526000</v>
      </c>
      <c r="AM53" s="18"/>
      <c r="AN53" s="13"/>
      <c r="AO53" s="13"/>
      <c r="AP53" s="13"/>
      <c r="AQ53" s="13"/>
      <c r="AR53" s="13"/>
      <c r="AS53" s="13"/>
      <c r="AT53" s="13"/>
    </row>
    <row r="54" spans="1:46" x14ac:dyDescent="0.25">
      <c r="A54" s="153" t="s">
        <v>912</v>
      </c>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18"/>
      <c r="AJ54" s="18"/>
      <c r="AK54" s="18"/>
      <c r="AL54" s="18"/>
      <c r="AM54" s="18"/>
      <c r="AN54" s="13"/>
      <c r="AO54" s="13"/>
      <c r="AP54" s="13"/>
      <c r="AQ54" s="13"/>
      <c r="AR54" s="13">
        <v>140000</v>
      </c>
      <c r="AS54" s="13"/>
      <c r="AT54" s="13">
        <v>150000</v>
      </c>
    </row>
    <row r="55" spans="1:46" x14ac:dyDescent="0.25">
      <c r="A55" s="153" t="s">
        <v>1033</v>
      </c>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18">
        <v>520000</v>
      </c>
      <c r="AJ55" s="18">
        <v>560000</v>
      </c>
      <c r="AK55" s="18">
        <v>500000</v>
      </c>
      <c r="AL55" s="18">
        <v>470000</v>
      </c>
      <c r="AM55" s="18">
        <f>300000+220000</f>
        <v>520000</v>
      </c>
      <c r="AN55" s="13">
        <v>545000</v>
      </c>
      <c r="AO55" s="13">
        <f>300000+220000</f>
        <v>520000</v>
      </c>
      <c r="AP55" s="13"/>
      <c r="AQ55" s="13"/>
      <c r="AR55" s="13">
        <f>150000+200000</f>
        <v>350000</v>
      </c>
      <c r="AS55" s="13"/>
      <c r="AT55" s="13">
        <f>235000+240000</f>
        <v>475000</v>
      </c>
    </row>
    <row r="56" spans="1:46" x14ac:dyDescent="0.25">
      <c r="A56" s="153" t="s">
        <v>743</v>
      </c>
      <c r="B56" s="96"/>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18"/>
      <c r="AJ56" s="18"/>
      <c r="AK56" s="18"/>
      <c r="AL56" s="18"/>
      <c r="AM56" s="18"/>
      <c r="AN56" s="13"/>
      <c r="AO56" s="13"/>
      <c r="AP56" s="13"/>
      <c r="AQ56" s="13"/>
      <c r="AR56" s="13"/>
      <c r="AS56" s="13"/>
      <c r="AT56" s="13"/>
    </row>
    <row r="57" spans="1:46" x14ac:dyDescent="0.25">
      <c r="A57" s="153" t="s">
        <v>744</v>
      </c>
      <c r="B57" s="96"/>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c r="AF57" s="96"/>
      <c r="AG57" s="96"/>
      <c r="AH57" s="96"/>
      <c r="AI57" s="18"/>
      <c r="AJ57" s="18"/>
      <c r="AK57" s="18"/>
      <c r="AL57" s="18"/>
      <c r="AM57" s="18"/>
      <c r="AN57" s="13"/>
      <c r="AO57" s="13"/>
      <c r="AP57" s="13"/>
      <c r="AQ57" s="13"/>
      <c r="AR57" s="13">
        <v>100000</v>
      </c>
      <c r="AS57" s="13"/>
      <c r="AT57" s="13">
        <v>330000</v>
      </c>
    </row>
    <row r="58" spans="1:46" x14ac:dyDescent="0.25">
      <c r="A58" s="34" t="s">
        <v>784</v>
      </c>
      <c r="B58" s="96"/>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6"/>
      <c r="AG58" s="96">
        <v>980000</v>
      </c>
      <c r="AH58" s="96">
        <v>1860000</v>
      </c>
      <c r="AI58" s="18">
        <v>2150000</v>
      </c>
      <c r="AJ58" s="18">
        <v>1960000</v>
      </c>
      <c r="AK58" s="18">
        <v>2100000</v>
      </c>
      <c r="AL58" s="18">
        <v>2640000</v>
      </c>
      <c r="AM58" s="18">
        <v>2550000</v>
      </c>
      <c r="AN58" s="13">
        <v>2190000</v>
      </c>
      <c r="AO58" s="13">
        <v>2550000</v>
      </c>
      <c r="AP58" s="13"/>
      <c r="AQ58" s="13"/>
      <c r="AR58" s="13">
        <v>2500000</v>
      </c>
      <c r="AS58" s="13"/>
      <c r="AT58" s="13">
        <v>3090000</v>
      </c>
    </row>
    <row r="59" spans="1:46" x14ac:dyDescent="0.25">
      <c r="A59" s="34" t="s">
        <v>277</v>
      </c>
      <c r="B59" s="96"/>
      <c r="C59" s="96"/>
      <c r="D59" s="96"/>
      <c r="E59" s="96"/>
      <c r="F59" s="96"/>
      <c r="G59" s="96"/>
      <c r="H59" s="96"/>
      <c r="I59" s="96"/>
      <c r="J59" s="96"/>
      <c r="K59" s="96">
        <v>70000</v>
      </c>
      <c r="L59" s="96">
        <v>110000</v>
      </c>
      <c r="M59" s="96"/>
      <c r="N59" s="96"/>
      <c r="O59" s="96"/>
      <c r="P59" s="96"/>
      <c r="Q59" s="96"/>
      <c r="R59" s="96"/>
      <c r="S59" s="96"/>
      <c r="T59" s="96"/>
      <c r="U59" s="96"/>
      <c r="V59" s="96"/>
      <c r="W59" s="96"/>
      <c r="X59" s="96"/>
      <c r="Y59" s="96"/>
      <c r="Z59" s="96"/>
      <c r="AA59" s="96"/>
      <c r="AB59" s="96"/>
      <c r="AC59" s="96"/>
      <c r="AD59" s="96"/>
      <c r="AE59" s="96"/>
      <c r="AF59" s="96"/>
      <c r="AG59" s="96">
        <v>100000</v>
      </c>
      <c r="AH59" s="96">
        <f>290000+35000</f>
        <v>325000</v>
      </c>
      <c r="AI59" s="18">
        <v>510000</v>
      </c>
      <c r="AJ59" s="18">
        <v>250000</v>
      </c>
      <c r="AK59" s="18"/>
      <c r="AL59" s="18">
        <v>220000</v>
      </c>
      <c r="AM59" s="18">
        <v>800000</v>
      </c>
      <c r="AN59" s="13">
        <f>1010000-60000</f>
        <v>950000</v>
      </c>
      <c r="AO59" s="13">
        <v>800000</v>
      </c>
      <c r="AP59" s="13"/>
      <c r="AQ59" s="13"/>
      <c r="AR59" s="13">
        <v>1000000</v>
      </c>
      <c r="AS59" s="13"/>
      <c r="AT59" s="13"/>
    </row>
    <row r="60" spans="1:46" x14ac:dyDescent="0.25">
      <c r="A60" s="34" t="s">
        <v>1034</v>
      </c>
      <c r="B60" s="96"/>
      <c r="C60" s="96"/>
      <c r="D60" s="96"/>
      <c r="E60" s="96"/>
      <c r="F60" s="96"/>
      <c r="G60" s="96"/>
      <c r="H60" s="96"/>
      <c r="I60" s="96"/>
      <c r="J60" s="96"/>
      <c r="K60" s="96"/>
      <c r="L60" s="96">
        <v>16000</v>
      </c>
      <c r="M60" s="96"/>
      <c r="N60" s="96"/>
      <c r="O60" s="96"/>
      <c r="P60" s="96"/>
      <c r="Q60" s="96"/>
      <c r="R60" s="96"/>
      <c r="S60" s="96"/>
      <c r="T60" s="96"/>
      <c r="U60" s="96"/>
      <c r="V60" s="96"/>
      <c r="W60" s="96"/>
      <c r="X60" s="96"/>
      <c r="Y60" s="96"/>
      <c r="Z60" s="96"/>
      <c r="AA60" s="96"/>
      <c r="AB60" s="96">
        <f>128000</f>
        <v>128000</v>
      </c>
      <c r="AC60" s="96"/>
      <c r="AD60" s="96"/>
      <c r="AE60" s="96"/>
      <c r="AF60" s="96"/>
      <c r="AG60" s="96">
        <f>10000+45000</f>
        <v>55000</v>
      </c>
      <c r="AH60" s="96">
        <f>30000+5000</f>
        <v>35000</v>
      </c>
      <c r="AI60" s="18"/>
      <c r="AJ60" s="18">
        <f>15000+8280+145160+30000</f>
        <v>198440</v>
      </c>
      <c r="AK60" s="18">
        <f>500000</f>
        <v>500000</v>
      </c>
      <c r="AL60" s="18">
        <v>260500</v>
      </c>
      <c r="AM60" s="18">
        <f>200000+500000+10000+300000</f>
        <v>1010000</v>
      </c>
      <c r="AN60" s="13">
        <f>230000+5000+86600+14000+43920+10000</f>
        <v>389520</v>
      </c>
      <c r="AO60" s="13">
        <f>200000+500000+10000+300000</f>
        <v>1010000</v>
      </c>
      <c r="AP60" s="13"/>
      <c r="AQ60" s="13"/>
      <c r="AR60" s="13">
        <f>60000+75000</f>
        <v>135000</v>
      </c>
      <c r="AS60" s="13"/>
      <c r="AT60" s="13"/>
    </row>
    <row r="61" spans="1:46" x14ac:dyDescent="0.25">
      <c r="A61" s="34" t="s">
        <v>772</v>
      </c>
      <c r="B61" s="96">
        <f>200000+16000</f>
        <v>216000</v>
      </c>
      <c r="C61" s="96">
        <f>100000+350000</f>
        <v>450000</v>
      </c>
      <c r="D61" s="96"/>
      <c r="E61" s="96"/>
      <c r="F61" s="96">
        <f>510000+150000</f>
        <v>660000</v>
      </c>
      <c r="G61" s="96">
        <v>270000</v>
      </c>
      <c r="H61" s="96">
        <v>877692</v>
      </c>
      <c r="I61" s="96">
        <v>1340820</v>
      </c>
      <c r="J61" s="96">
        <v>1300000</v>
      </c>
      <c r="K61" s="96">
        <v>1760800</v>
      </c>
      <c r="L61" s="96">
        <v>1638700</v>
      </c>
      <c r="M61" s="96"/>
      <c r="N61" s="96"/>
      <c r="O61" s="96"/>
      <c r="P61" s="96"/>
      <c r="Q61" s="96"/>
      <c r="R61" s="96"/>
      <c r="S61" s="96"/>
      <c r="T61" s="96">
        <v>9500</v>
      </c>
      <c r="U61" s="96">
        <v>500</v>
      </c>
      <c r="V61" s="96"/>
      <c r="W61" s="96"/>
      <c r="X61" s="96"/>
      <c r="Y61" s="96"/>
      <c r="Z61" s="96"/>
      <c r="AA61" s="96"/>
      <c r="AB61" s="96">
        <f>474100</f>
        <v>474100</v>
      </c>
      <c r="AC61" s="96">
        <v>501000</v>
      </c>
      <c r="AD61" s="96">
        <f>528565+43000+130000</f>
        <v>701565</v>
      </c>
      <c r="AE61" s="96"/>
      <c r="AF61" s="96">
        <f>1500000+600000+600000</f>
        <v>2700000</v>
      </c>
      <c r="AG61" s="96"/>
      <c r="AH61" s="96"/>
      <c r="AI61" s="18"/>
      <c r="AJ61" s="18">
        <f>260000+50000+10000+25000</f>
        <v>345000</v>
      </c>
      <c r="AK61" s="18"/>
      <c r="AL61" s="18"/>
      <c r="AM61" s="18"/>
      <c r="AN61" s="13"/>
      <c r="AO61" s="13"/>
      <c r="AP61" s="13"/>
      <c r="AQ61" s="13"/>
      <c r="AR61" s="13"/>
      <c r="AS61" s="13"/>
      <c r="AT61" s="13"/>
    </row>
    <row r="62" spans="1:46" x14ac:dyDescent="0.25">
      <c r="A62" s="34" t="s">
        <v>773</v>
      </c>
      <c r="B62" s="96"/>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v>612000</v>
      </c>
      <c r="AC62" s="96">
        <v>640000</v>
      </c>
      <c r="AD62" s="96">
        <v>760600</v>
      </c>
      <c r="AE62" s="96">
        <v>1010000</v>
      </c>
      <c r="AF62" s="96">
        <v>800000</v>
      </c>
      <c r="AG62" s="96">
        <v>685000</v>
      </c>
      <c r="AH62" s="96">
        <v>940000</v>
      </c>
      <c r="AI62" s="18">
        <v>1185000</v>
      </c>
      <c r="AJ62" s="18">
        <v>1215000</v>
      </c>
      <c r="AK62" s="18">
        <v>1100000</v>
      </c>
      <c r="AL62" s="18">
        <v>1315000</v>
      </c>
      <c r="AM62" s="18">
        <v>2350000</v>
      </c>
      <c r="AN62" s="13">
        <v>2205000</v>
      </c>
      <c r="AO62" s="13">
        <v>2350000</v>
      </c>
      <c r="AP62" s="13"/>
      <c r="AQ62" s="13"/>
      <c r="AR62" s="13">
        <v>2700000</v>
      </c>
      <c r="AS62" s="13"/>
      <c r="AT62" s="13">
        <v>3270000</v>
      </c>
    </row>
    <row r="63" spans="1:46" x14ac:dyDescent="0.25">
      <c r="A63" s="34" t="s">
        <v>778</v>
      </c>
      <c r="B63" s="96"/>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c r="AE63" s="96">
        <v>616250</v>
      </c>
      <c r="AF63" s="96"/>
      <c r="AG63" s="96"/>
      <c r="AH63" s="96"/>
      <c r="AI63" s="18"/>
      <c r="AJ63" s="18"/>
      <c r="AK63" s="18"/>
      <c r="AL63" s="18"/>
      <c r="AM63" s="18"/>
      <c r="AN63" s="13"/>
      <c r="AO63" s="13"/>
      <c r="AP63" s="13"/>
      <c r="AQ63" s="13"/>
      <c r="AR63" s="13"/>
      <c r="AS63" s="13"/>
      <c r="AT63" s="13"/>
    </row>
    <row r="64" spans="1:46" x14ac:dyDescent="0.25">
      <c r="A64" s="34" t="s">
        <v>779</v>
      </c>
      <c r="B64" s="96"/>
      <c r="C64" s="96"/>
      <c r="D64" s="96"/>
      <c r="E64" s="96"/>
      <c r="F64" s="96">
        <v>230400</v>
      </c>
      <c r="G64" s="96">
        <v>236800</v>
      </c>
      <c r="H64" s="96"/>
      <c r="I64" s="96"/>
      <c r="J64" s="96"/>
      <c r="K64" s="96"/>
      <c r="L64" s="96"/>
      <c r="M64" s="96">
        <v>1036000</v>
      </c>
      <c r="N64" s="96">
        <v>1029800</v>
      </c>
      <c r="O64" s="96">
        <v>1030000</v>
      </c>
      <c r="P64" s="96">
        <v>1130000</v>
      </c>
      <c r="Q64" s="96">
        <v>832000</v>
      </c>
      <c r="R64" s="96">
        <v>857600</v>
      </c>
      <c r="S64" s="96">
        <v>915200</v>
      </c>
      <c r="T64" s="96">
        <v>780800</v>
      </c>
      <c r="U64" s="96">
        <v>524800</v>
      </c>
      <c r="V64" s="96">
        <v>780000</v>
      </c>
      <c r="W64" s="96">
        <v>355200</v>
      </c>
      <c r="X64" s="96"/>
      <c r="Y64" s="96">
        <v>600000</v>
      </c>
      <c r="Z64" s="96">
        <v>499200</v>
      </c>
      <c r="AA64" s="96"/>
      <c r="AB64" s="96">
        <v>480000</v>
      </c>
      <c r="AC64" s="96">
        <v>460800</v>
      </c>
      <c r="AD64" s="96">
        <v>572800</v>
      </c>
      <c r="AE64" s="96">
        <v>617600</v>
      </c>
      <c r="AF64" s="96">
        <v>600000</v>
      </c>
      <c r="AG64" s="96"/>
      <c r="AH64" s="96">
        <v>604800</v>
      </c>
      <c r="AI64" s="18"/>
      <c r="AJ64" s="18"/>
      <c r="AK64" s="18"/>
      <c r="AL64" s="18"/>
      <c r="AM64" s="18"/>
      <c r="AN64" s="13"/>
      <c r="AO64" s="13"/>
      <c r="AP64" s="13"/>
      <c r="AQ64" s="13"/>
      <c r="AR64" s="13"/>
      <c r="AS64" s="13"/>
      <c r="AT64" s="13"/>
    </row>
    <row r="65" spans="1:46" x14ac:dyDescent="0.25">
      <c r="A65" s="34" t="s">
        <v>1035</v>
      </c>
      <c r="B65" s="96"/>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v>370000</v>
      </c>
      <c r="AF65" s="96">
        <v>1200000</v>
      </c>
      <c r="AG65" s="96">
        <v>230000</v>
      </c>
      <c r="AH65" s="96">
        <v>150000</v>
      </c>
      <c r="AI65" s="18">
        <v>330000</v>
      </c>
      <c r="AJ65" s="18"/>
      <c r="AK65" s="18">
        <v>350000</v>
      </c>
      <c r="AL65" s="18">
        <v>200000</v>
      </c>
      <c r="AM65" s="18"/>
      <c r="AN65" s="13">
        <v>345000</v>
      </c>
      <c r="AO65" s="13"/>
      <c r="AP65" s="13"/>
      <c r="AQ65" s="13"/>
      <c r="AR65" s="13">
        <f>90000+400000+60000</f>
        <v>550000</v>
      </c>
      <c r="AS65" s="13"/>
      <c r="AT65" s="13">
        <f>205000+70000+80000</f>
        <v>355000</v>
      </c>
    </row>
    <row r="66" spans="1:46" x14ac:dyDescent="0.25">
      <c r="A66" s="34" t="s">
        <v>781</v>
      </c>
      <c r="B66" s="96"/>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96"/>
      <c r="AG66" s="96"/>
      <c r="AH66" s="96">
        <v>10000</v>
      </c>
      <c r="AI66" s="18">
        <v>20000</v>
      </c>
      <c r="AJ66" s="18">
        <v>10000</v>
      </c>
      <c r="AK66" s="18">
        <v>50000</v>
      </c>
      <c r="AL66" s="18"/>
      <c r="AM66" s="18">
        <v>100000</v>
      </c>
      <c r="AN66" s="13">
        <v>117500</v>
      </c>
      <c r="AO66" s="13">
        <v>100000</v>
      </c>
      <c r="AP66" s="13"/>
      <c r="AQ66" s="13"/>
      <c r="AR66" s="13">
        <v>60000</v>
      </c>
      <c r="AS66" s="13"/>
      <c r="AT66" s="13">
        <v>200000</v>
      </c>
    </row>
    <row r="67" spans="1:46" x14ac:dyDescent="0.25">
      <c r="A67" s="34" t="s">
        <v>432</v>
      </c>
      <c r="B67" s="96"/>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v>116800</v>
      </c>
      <c r="AE67" s="96"/>
      <c r="AF67" s="96"/>
      <c r="AG67" s="96"/>
      <c r="AH67" s="96">
        <v>170000</v>
      </c>
      <c r="AI67" s="18"/>
      <c r="AJ67" s="18">
        <v>260000</v>
      </c>
      <c r="AK67" s="18"/>
      <c r="AL67" s="18"/>
      <c r="AM67" s="18"/>
      <c r="AN67" s="13"/>
      <c r="AO67" s="13"/>
      <c r="AP67" s="13"/>
      <c r="AQ67" s="13"/>
      <c r="AR67" s="13"/>
      <c r="AS67" s="13"/>
      <c r="AT67" s="13">
        <v>180000</v>
      </c>
    </row>
    <row r="68" spans="1:46" x14ac:dyDescent="0.25">
      <c r="A68" s="34" t="s">
        <v>745</v>
      </c>
      <c r="B68" s="96"/>
      <c r="C68" s="96"/>
      <c r="D68" s="96"/>
      <c r="E68" s="96"/>
      <c r="F68" s="96"/>
      <c r="G68" s="96"/>
      <c r="H68" s="96"/>
      <c r="I68" s="96"/>
      <c r="J68" s="96"/>
      <c r="K68" s="96"/>
      <c r="L68" s="96"/>
      <c r="M68" s="96"/>
      <c r="N68" s="96"/>
      <c r="O68" s="96"/>
      <c r="P68" s="96"/>
      <c r="Q68" s="96"/>
      <c r="R68" s="96"/>
      <c r="S68" s="96"/>
      <c r="T68" s="96"/>
      <c r="U68" s="96"/>
      <c r="V68" s="96"/>
      <c r="W68" s="96"/>
      <c r="X68" s="96"/>
      <c r="Y68" s="96"/>
      <c r="Z68" s="96"/>
      <c r="AA68" s="96"/>
      <c r="AB68" s="96"/>
      <c r="AC68" s="96"/>
      <c r="AD68" s="96"/>
      <c r="AE68" s="96"/>
      <c r="AF68" s="96"/>
      <c r="AG68" s="96">
        <v>10000</v>
      </c>
      <c r="AH68" s="96"/>
      <c r="AI68" s="18">
        <v>10000</v>
      </c>
      <c r="AJ68" s="18">
        <v>10000</v>
      </c>
      <c r="AK68" s="18">
        <v>20000</v>
      </c>
      <c r="AL68" s="18">
        <v>10000</v>
      </c>
      <c r="AM68" s="18"/>
      <c r="AN68" s="13"/>
      <c r="AO68" s="13"/>
      <c r="AP68" s="13"/>
      <c r="AQ68" s="13"/>
      <c r="AR68" s="13"/>
      <c r="AS68" s="13"/>
      <c r="AT68" s="13"/>
    </row>
    <row r="69" spans="1:46" x14ac:dyDescent="0.25">
      <c r="A69" s="34" t="s">
        <v>286</v>
      </c>
      <c r="B69" s="96"/>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c r="AE69" s="96"/>
      <c r="AF69" s="96"/>
      <c r="AG69" s="96"/>
      <c r="AH69" s="96"/>
      <c r="AI69" s="18">
        <v>196000</v>
      </c>
      <c r="AJ69" s="18"/>
      <c r="AK69" s="18"/>
      <c r="AL69" s="18"/>
      <c r="AM69" s="18">
        <v>100000</v>
      </c>
      <c r="AN69" s="13">
        <v>810000</v>
      </c>
      <c r="AO69" s="13">
        <v>100000</v>
      </c>
      <c r="AP69" s="13"/>
      <c r="AQ69" s="13"/>
      <c r="AR69" s="13"/>
      <c r="AS69" s="13"/>
      <c r="AT69" s="13">
        <v>30000</v>
      </c>
    </row>
    <row r="70" spans="1:46" x14ac:dyDescent="0.25">
      <c r="A70" s="34" t="s">
        <v>788</v>
      </c>
      <c r="B70" s="96"/>
      <c r="C70" s="96"/>
      <c r="D70" s="96"/>
      <c r="E70" s="96"/>
      <c r="F70" s="96"/>
      <c r="G70" s="96"/>
      <c r="H70" s="96"/>
      <c r="I70" s="96"/>
      <c r="J70" s="96"/>
      <c r="K70" s="96"/>
      <c r="L70" s="96"/>
      <c r="M70" s="96"/>
      <c r="N70" s="96"/>
      <c r="O70" s="96"/>
      <c r="P70" s="96"/>
      <c r="Q70" s="96"/>
      <c r="R70" s="96"/>
      <c r="S70" s="96"/>
      <c r="T70" s="96"/>
      <c r="U70" s="96"/>
      <c r="V70" s="96"/>
      <c r="W70" s="96"/>
      <c r="X70" s="96"/>
      <c r="Y70" s="96"/>
      <c r="Z70" s="96"/>
      <c r="AA70" s="96"/>
      <c r="AB70" s="96"/>
      <c r="AC70" s="96"/>
      <c r="AD70" s="96"/>
      <c r="AE70" s="96"/>
      <c r="AF70" s="96"/>
      <c r="AG70" s="96"/>
      <c r="AH70" s="96"/>
      <c r="AI70" s="18"/>
      <c r="AJ70" s="18"/>
      <c r="AK70" s="18"/>
      <c r="AL70" s="18"/>
      <c r="AM70" s="18"/>
      <c r="AN70" s="13"/>
      <c r="AO70" s="13"/>
      <c r="AP70" s="13"/>
      <c r="AQ70" s="13"/>
      <c r="AR70" s="13">
        <v>1500000</v>
      </c>
      <c r="AS70" s="13"/>
      <c r="AT70" s="13">
        <v>1858800</v>
      </c>
    </row>
    <row r="71" spans="1:46" x14ac:dyDescent="0.25">
      <c r="A71" s="153" t="s">
        <v>746</v>
      </c>
      <c r="B71" s="96"/>
      <c r="C71" s="96"/>
      <c r="D71" s="96"/>
      <c r="E71" s="96"/>
      <c r="F71" s="96"/>
      <c r="G71" s="96"/>
      <c r="H71" s="96"/>
      <c r="I71" s="96"/>
      <c r="J71" s="96"/>
      <c r="K71" s="96"/>
      <c r="L71" s="96"/>
      <c r="M71" s="96"/>
      <c r="N71" s="96"/>
      <c r="O71" s="96"/>
      <c r="P71" s="96"/>
      <c r="Q71" s="96"/>
      <c r="R71" s="96"/>
      <c r="S71" s="96"/>
      <c r="T71" s="96"/>
      <c r="U71" s="96"/>
      <c r="V71" s="96"/>
      <c r="W71" s="96"/>
      <c r="X71" s="96"/>
      <c r="Y71" s="96"/>
      <c r="Z71" s="96"/>
      <c r="AA71" s="96"/>
      <c r="AB71" s="96">
        <v>20000</v>
      </c>
      <c r="AC71" s="96">
        <v>92400</v>
      </c>
      <c r="AD71" s="96">
        <v>40000</v>
      </c>
      <c r="AE71" s="96">
        <v>305600</v>
      </c>
      <c r="AF71" s="96">
        <v>400000</v>
      </c>
      <c r="AG71" s="96">
        <v>72800</v>
      </c>
      <c r="AH71" s="96">
        <v>50000</v>
      </c>
      <c r="AI71" s="18">
        <v>200000</v>
      </c>
      <c r="AJ71" s="18">
        <v>158400</v>
      </c>
      <c r="AK71" s="18">
        <v>200000</v>
      </c>
      <c r="AL71" s="18">
        <v>92800</v>
      </c>
      <c r="AM71" s="18">
        <v>80000</v>
      </c>
      <c r="AN71" s="13">
        <f>80000</f>
        <v>80000</v>
      </c>
      <c r="AO71" s="13">
        <v>80000</v>
      </c>
      <c r="AP71" s="13"/>
      <c r="AQ71" s="13"/>
      <c r="AR71" s="13">
        <f>200000+40000</f>
        <v>240000</v>
      </c>
      <c r="AS71" s="13"/>
      <c r="AT71" s="13">
        <f>250000</f>
        <v>250000</v>
      </c>
    </row>
    <row r="72" spans="1:46" x14ac:dyDescent="0.25">
      <c r="A72" s="153" t="s">
        <v>280</v>
      </c>
      <c r="B72" s="96"/>
      <c r="C72" s="96"/>
      <c r="D72" s="96"/>
      <c r="E72" s="96"/>
      <c r="F72" s="96"/>
      <c r="G72" s="96"/>
      <c r="H72" s="96"/>
      <c r="I72" s="96"/>
      <c r="J72" s="96"/>
      <c r="K72" s="96"/>
      <c r="L72" s="96"/>
      <c r="M72" s="96"/>
      <c r="N72" s="96"/>
      <c r="O72" s="96"/>
      <c r="P72" s="96"/>
      <c r="Q72" s="96"/>
      <c r="R72" s="96"/>
      <c r="S72" s="96"/>
      <c r="T72" s="96"/>
      <c r="U72" s="96"/>
      <c r="V72" s="96"/>
      <c r="W72" s="96"/>
      <c r="X72" s="96"/>
      <c r="Y72" s="96"/>
      <c r="Z72" s="96">
        <v>96000</v>
      </c>
      <c r="AA72" s="96"/>
      <c r="AB72" s="96"/>
      <c r="AC72" s="96"/>
      <c r="AD72" s="96"/>
      <c r="AE72" s="96"/>
      <c r="AF72" s="96"/>
      <c r="AG72" s="96"/>
      <c r="AH72" s="96"/>
      <c r="AI72" s="18"/>
      <c r="AJ72" s="18"/>
      <c r="AK72" s="18"/>
      <c r="AL72" s="18"/>
      <c r="AM72" s="18"/>
      <c r="AN72" s="13"/>
      <c r="AO72" s="13"/>
      <c r="AP72" s="13"/>
      <c r="AQ72" s="13"/>
      <c r="AR72" s="13"/>
      <c r="AS72" s="13"/>
      <c r="AT72" s="13"/>
    </row>
    <row r="73" spans="1:46" x14ac:dyDescent="0.25">
      <c r="A73" s="153" t="s">
        <v>782</v>
      </c>
      <c r="B73" s="96"/>
      <c r="C73" s="96"/>
      <c r="D73" s="96"/>
      <c r="E73" s="96"/>
      <c r="F73" s="96"/>
      <c r="G73" s="96"/>
      <c r="H73" s="96"/>
      <c r="I73" s="96"/>
      <c r="J73" s="96"/>
      <c r="K73" s="96"/>
      <c r="L73" s="96"/>
      <c r="M73" s="96"/>
      <c r="N73" s="96"/>
      <c r="O73" s="96"/>
      <c r="P73" s="96"/>
      <c r="Q73" s="96"/>
      <c r="R73" s="96"/>
      <c r="S73" s="96"/>
      <c r="T73" s="96"/>
      <c r="U73" s="96"/>
      <c r="V73" s="96"/>
      <c r="W73" s="96"/>
      <c r="X73" s="96"/>
      <c r="Y73" s="96"/>
      <c r="Z73" s="96"/>
      <c r="AA73" s="96"/>
      <c r="AB73" s="96"/>
      <c r="AC73" s="96"/>
      <c r="AD73" s="96"/>
      <c r="AE73" s="96"/>
      <c r="AF73" s="96"/>
      <c r="AG73" s="96"/>
      <c r="AH73" s="96"/>
      <c r="AI73" s="18"/>
      <c r="AJ73" s="18"/>
      <c r="AK73" s="18"/>
      <c r="AL73" s="18"/>
      <c r="AM73" s="18"/>
      <c r="AN73" s="13"/>
      <c r="AO73" s="13"/>
      <c r="AP73" s="13"/>
      <c r="AQ73" s="13"/>
      <c r="AR73" s="13">
        <v>4693000</v>
      </c>
      <c r="AS73" s="13"/>
      <c r="AT73" s="13">
        <v>3527260</v>
      </c>
    </row>
    <row r="74" spans="1:46" x14ac:dyDescent="0.25">
      <c r="A74" s="153" t="s">
        <v>747</v>
      </c>
      <c r="B74" s="96"/>
      <c r="C74" s="96"/>
      <c r="D74" s="96"/>
      <c r="E74" s="96"/>
      <c r="F74" s="96"/>
      <c r="G74" s="96"/>
      <c r="H74" s="96"/>
      <c r="I74" s="96"/>
      <c r="J74" s="96"/>
      <c r="K74" s="96"/>
      <c r="L74" s="96"/>
      <c r="M74" s="96"/>
      <c r="N74" s="96"/>
      <c r="O74" s="96"/>
      <c r="P74" s="96"/>
      <c r="Q74" s="96"/>
      <c r="R74" s="96"/>
      <c r="S74" s="96"/>
      <c r="T74" s="96"/>
      <c r="U74" s="96"/>
      <c r="V74" s="96"/>
      <c r="W74" s="96"/>
      <c r="X74" s="96"/>
      <c r="Y74" s="96"/>
      <c r="Z74" s="96"/>
      <c r="AA74" s="96"/>
      <c r="AB74" s="96"/>
      <c r="AC74" s="96"/>
      <c r="AD74" s="96"/>
      <c r="AE74" s="96"/>
      <c r="AF74" s="96"/>
      <c r="AG74" s="96"/>
      <c r="AH74" s="96"/>
      <c r="AI74" s="18"/>
      <c r="AJ74" s="18"/>
      <c r="AK74" s="18"/>
      <c r="AL74" s="18"/>
      <c r="AM74" s="18"/>
      <c r="AN74" s="13"/>
      <c r="AO74" s="13"/>
      <c r="AP74" s="13"/>
      <c r="AQ74" s="13"/>
      <c r="AR74" s="13">
        <f>40000+30000</f>
        <v>70000</v>
      </c>
      <c r="AS74" s="13"/>
      <c r="AT74" s="13">
        <f>65000</f>
        <v>65000</v>
      </c>
    </row>
    <row r="75" spans="1:46" x14ac:dyDescent="0.25">
      <c r="A75" s="153" t="s">
        <v>783</v>
      </c>
      <c r="B75" s="96"/>
      <c r="C75" s="96"/>
      <c r="D75" s="96"/>
      <c r="E75" s="96"/>
      <c r="F75" s="96"/>
      <c r="G75" s="96"/>
      <c r="H75" s="96"/>
      <c r="I75" s="96"/>
      <c r="J75" s="96"/>
      <c r="K75" s="96"/>
      <c r="L75" s="96"/>
      <c r="M75" s="96"/>
      <c r="N75" s="96"/>
      <c r="O75" s="96"/>
      <c r="P75" s="96"/>
      <c r="Q75" s="96"/>
      <c r="R75" s="96"/>
      <c r="S75" s="96"/>
      <c r="T75" s="96"/>
      <c r="U75" s="96"/>
      <c r="V75" s="96"/>
      <c r="W75" s="96"/>
      <c r="X75" s="96"/>
      <c r="Y75" s="96"/>
      <c r="Z75" s="96"/>
      <c r="AA75" s="96"/>
      <c r="AB75" s="96"/>
      <c r="AC75" s="96"/>
      <c r="AD75" s="96"/>
      <c r="AE75" s="96"/>
      <c r="AF75" s="96"/>
      <c r="AG75" s="96"/>
      <c r="AH75" s="96"/>
      <c r="AI75" s="18"/>
      <c r="AJ75" s="18"/>
      <c r="AK75" s="18"/>
      <c r="AL75" s="18"/>
      <c r="AM75" s="18"/>
      <c r="AN75" s="13"/>
      <c r="AO75" s="13"/>
      <c r="AP75" s="13"/>
      <c r="AQ75" s="13"/>
      <c r="AR75" s="13"/>
      <c r="AS75" s="13"/>
      <c r="AT75" s="13">
        <v>802000</v>
      </c>
    </row>
    <row r="76" spans="1:46" x14ac:dyDescent="0.25">
      <c r="A76" s="154" t="s">
        <v>748</v>
      </c>
      <c r="B76" s="96"/>
      <c r="C76" s="96"/>
      <c r="D76" s="96"/>
      <c r="E76" s="96"/>
      <c r="F76" s="96"/>
      <c r="G76" s="96"/>
      <c r="H76" s="96"/>
      <c r="I76" s="96"/>
      <c r="J76" s="96"/>
      <c r="K76" s="96"/>
      <c r="L76" s="96"/>
      <c r="M76" s="96"/>
      <c r="N76" s="96"/>
      <c r="O76" s="96"/>
      <c r="P76" s="96"/>
      <c r="Q76" s="96"/>
      <c r="R76" s="96"/>
      <c r="S76" s="96"/>
      <c r="T76" s="96"/>
      <c r="U76" s="96"/>
      <c r="V76" s="96"/>
      <c r="W76" s="96"/>
      <c r="X76" s="96"/>
      <c r="Y76" s="96"/>
      <c r="Z76" s="96"/>
      <c r="AA76" s="96"/>
      <c r="AB76" s="96"/>
      <c r="AC76" s="96"/>
      <c r="AD76" s="96"/>
      <c r="AE76" s="96">
        <v>93000</v>
      </c>
      <c r="AF76" s="96"/>
      <c r="AG76" s="96">
        <v>27000</v>
      </c>
      <c r="AH76" s="96">
        <v>318000</v>
      </c>
      <c r="AI76" s="18">
        <v>312000</v>
      </c>
      <c r="AJ76" s="18">
        <v>504000</v>
      </c>
      <c r="AK76" s="18">
        <v>350000</v>
      </c>
      <c r="AL76" s="18">
        <v>810000</v>
      </c>
      <c r="AM76" s="18">
        <v>900000</v>
      </c>
      <c r="AN76" s="13"/>
      <c r="AO76" s="13">
        <v>900000</v>
      </c>
      <c r="AP76" s="13"/>
      <c r="AQ76" s="13"/>
      <c r="AR76" s="13">
        <v>1000000</v>
      </c>
      <c r="AS76" s="13"/>
      <c r="AT76" s="13">
        <v>586000</v>
      </c>
    </row>
    <row r="77" spans="1:46" x14ac:dyDescent="0.25">
      <c r="A77" s="154" t="s">
        <v>1036</v>
      </c>
      <c r="B77" s="96">
        <v>20000</v>
      </c>
      <c r="C77" s="96"/>
      <c r="D77" s="96"/>
      <c r="E77" s="96"/>
      <c r="F77" s="96"/>
      <c r="G77" s="96"/>
      <c r="H77" s="96"/>
      <c r="I77" s="96"/>
      <c r="J77" s="96"/>
      <c r="K77" s="96">
        <v>43360</v>
      </c>
      <c r="L77" s="96">
        <v>41920</v>
      </c>
      <c r="M77" s="96">
        <v>40800</v>
      </c>
      <c r="N77" s="96">
        <v>51200</v>
      </c>
      <c r="O77" s="96">
        <v>60000</v>
      </c>
      <c r="P77" s="96">
        <v>60000</v>
      </c>
      <c r="Q77" s="96">
        <v>52000</v>
      </c>
      <c r="R77" s="96">
        <v>60000</v>
      </c>
      <c r="S77" s="96">
        <v>63800</v>
      </c>
      <c r="T77" s="96">
        <v>73120</v>
      </c>
      <c r="U77" s="96">
        <v>58240</v>
      </c>
      <c r="V77" s="96">
        <v>70000</v>
      </c>
      <c r="W77" s="96">
        <v>78200</v>
      </c>
      <c r="X77" s="96"/>
      <c r="Y77" s="96">
        <v>100000</v>
      </c>
      <c r="Z77" s="96">
        <v>48240</v>
      </c>
      <c r="AA77" s="96"/>
      <c r="AB77" s="96">
        <v>1127060</v>
      </c>
      <c r="AC77" s="96">
        <v>1165680</v>
      </c>
      <c r="AD77" s="96">
        <v>1041960</v>
      </c>
      <c r="AE77" s="96">
        <v>1144880</v>
      </c>
      <c r="AF77" s="96">
        <v>1200000</v>
      </c>
      <c r="AG77" s="96">
        <v>2356600</v>
      </c>
      <c r="AH77" s="96">
        <f>598500+2238720</f>
        <v>2837220</v>
      </c>
      <c r="AI77" s="18">
        <v>3036820</v>
      </c>
      <c r="AJ77" s="18">
        <v>3147500</v>
      </c>
      <c r="AK77" s="18">
        <v>3100000</v>
      </c>
      <c r="AL77" s="18">
        <v>2466000</v>
      </c>
      <c r="AM77" s="18">
        <f>400000+1900000</f>
        <v>2300000</v>
      </c>
      <c r="AN77" s="13">
        <v>2536620</v>
      </c>
      <c r="AO77" s="13">
        <f>400000+1900000</f>
        <v>2300000</v>
      </c>
      <c r="AP77" s="13"/>
      <c r="AQ77" s="13"/>
      <c r="AR77" s="13"/>
      <c r="AS77" s="13"/>
      <c r="AT77" s="13">
        <v>3663260</v>
      </c>
    </row>
    <row r="78" spans="1:46" x14ac:dyDescent="0.25">
      <c r="A78" s="153" t="s">
        <v>771</v>
      </c>
      <c r="B78" s="96"/>
      <c r="C78" s="96"/>
      <c r="D78" s="96"/>
      <c r="E78" s="96"/>
      <c r="F78" s="96"/>
      <c r="G78" s="96"/>
      <c r="H78" s="96"/>
      <c r="I78" s="96"/>
      <c r="J78" s="96"/>
      <c r="K78" s="96"/>
      <c r="L78" s="96"/>
      <c r="M78" s="96"/>
      <c r="N78" s="96"/>
      <c r="O78" s="96"/>
      <c r="P78" s="96"/>
      <c r="Q78" s="96"/>
      <c r="R78" s="96"/>
      <c r="S78" s="96"/>
      <c r="T78" s="96"/>
      <c r="U78" s="96"/>
      <c r="V78" s="96"/>
      <c r="W78" s="96"/>
      <c r="X78" s="96"/>
      <c r="Y78" s="96"/>
      <c r="Z78" s="96"/>
      <c r="AA78" s="96"/>
      <c r="AB78" s="96"/>
      <c r="AC78" s="96"/>
      <c r="AD78" s="96"/>
      <c r="AE78" s="96"/>
      <c r="AF78" s="96"/>
      <c r="AG78" s="96">
        <v>85000</v>
      </c>
      <c r="AH78" s="96">
        <v>470000</v>
      </c>
      <c r="AI78" s="18"/>
      <c r="AJ78" s="18"/>
      <c r="AK78" s="18"/>
      <c r="AL78" s="18"/>
      <c r="AM78" s="18"/>
      <c r="AN78" s="13"/>
      <c r="AO78" s="13"/>
      <c r="AP78" s="13"/>
      <c r="AQ78" s="13"/>
      <c r="AR78" s="13"/>
      <c r="AS78" s="13"/>
      <c r="AT78" s="13"/>
    </row>
    <row r="79" spans="1:46" x14ac:dyDescent="0.25">
      <c r="A79" s="154" t="s">
        <v>749</v>
      </c>
      <c r="B79" s="96"/>
      <c r="C79" s="96"/>
      <c r="D79" s="96"/>
      <c r="E79" s="96"/>
      <c r="F79" s="96"/>
      <c r="G79" s="96"/>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v>1751800</v>
      </c>
      <c r="AH79" s="96">
        <v>751000</v>
      </c>
      <c r="AI79" s="18"/>
      <c r="AJ79" s="18">
        <f>1660000+2218000</f>
        <v>3878000</v>
      </c>
      <c r="AK79" s="18"/>
      <c r="AL79" s="18"/>
      <c r="AM79" s="18"/>
      <c r="AN79" s="13"/>
      <c r="AO79" s="13"/>
      <c r="AP79" s="13"/>
      <c r="AQ79" s="13"/>
      <c r="AR79" s="13"/>
      <c r="AS79" s="13"/>
      <c r="AT79" s="13"/>
    </row>
    <row r="80" spans="1:46" x14ac:dyDescent="0.25">
      <c r="A80" s="154" t="s">
        <v>750</v>
      </c>
      <c r="B80" s="96"/>
      <c r="C80" s="96"/>
      <c r="D80" s="96"/>
      <c r="E80" s="96"/>
      <c r="F80" s="96"/>
      <c r="G80" s="96"/>
      <c r="H80" s="96"/>
      <c r="I80" s="96"/>
      <c r="J80" s="96"/>
      <c r="K80" s="96"/>
      <c r="L80" s="96"/>
      <c r="M80" s="96"/>
      <c r="N80" s="96"/>
      <c r="O80" s="96"/>
      <c r="P80" s="96"/>
      <c r="Q80" s="96"/>
      <c r="R80" s="96"/>
      <c r="S80" s="96"/>
      <c r="T80" s="96"/>
      <c r="U80" s="96"/>
      <c r="V80" s="96"/>
      <c r="W80" s="96"/>
      <c r="X80" s="96"/>
      <c r="Y80" s="96"/>
      <c r="Z80" s="96"/>
      <c r="AA80" s="96"/>
      <c r="AB80" s="96"/>
      <c r="AC80" s="96"/>
      <c r="AD80" s="96"/>
      <c r="AE80" s="96"/>
      <c r="AF80" s="96"/>
      <c r="AG80" s="96"/>
      <c r="AH80" s="96">
        <v>145000</v>
      </c>
      <c r="AI80" s="18"/>
      <c r="AJ80" s="18"/>
      <c r="AK80" s="18"/>
      <c r="AL80" s="18"/>
      <c r="AM80" s="18"/>
      <c r="AN80" s="13"/>
      <c r="AO80" s="13"/>
      <c r="AP80" s="13"/>
      <c r="AQ80" s="13"/>
      <c r="AR80" s="13"/>
      <c r="AS80" s="13"/>
      <c r="AT80" s="13">
        <v>175000</v>
      </c>
    </row>
    <row r="81" spans="1:46" x14ac:dyDescent="0.25">
      <c r="A81" s="154" t="s">
        <v>751</v>
      </c>
      <c r="B81" s="96"/>
      <c r="C81" s="96"/>
      <c r="D81" s="96"/>
      <c r="E81" s="96"/>
      <c r="F81" s="96"/>
      <c r="G81" s="96"/>
      <c r="H81" s="96"/>
      <c r="I81" s="96"/>
      <c r="J81" s="96"/>
      <c r="K81" s="96"/>
      <c r="L81" s="96"/>
      <c r="M81" s="96"/>
      <c r="N81" s="96"/>
      <c r="O81" s="96"/>
      <c r="P81" s="96"/>
      <c r="Q81" s="96"/>
      <c r="R81" s="96"/>
      <c r="S81" s="96"/>
      <c r="T81" s="96"/>
      <c r="U81" s="96"/>
      <c r="V81" s="96"/>
      <c r="W81" s="96"/>
      <c r="X81" s="96"/>
      <c r="Y81" s="96"/>
      <c r="Z81" s="96"/>
      <c r="AA81" s="96"/>
      <c r="AB81" s="96"/>
      <c r="AC81" s="96"/>
      <c r="AD81" s="96"/>
      <c r="AE81" s="96"/>
      <c r="AF81" s="96"/>
      <c r="AG81" s="96"/>
      <c r="AH81" s="96"/>
      <c r="AI81" s="18"/>
      <c r="AJ81" s="18"/>
      <c r="AK81" s="18"/>
      <c r="AL81" s="18"/>
      <c r="AM81" s="18"/>
      <c r="AN81" s="13"/>
      <c r="AO81" s="13"/>
      <c r="AP81" s="13"/>
      <c r="AQ81" s="13"/>
      <c r="AR81" s="13"/>
      <c r="AS81" s="13"/>
      <c r="AT81" s="13">
        <v>110000</v>
      </c>
    </row>
    <row r="82" spans="1:46" x14ac:dyDescent="0.25">
      <c r="A82" s="153" t="s">
        <v>786</v>
      </c>
      <c r="B82" s="96"/>
      <c r="C82" s="96"/>
      <c r="D82" s="96"/>
      <c r="E82" s="96"/>
      <c r="F82" s="96"/>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c r="AF82" s="96"/>
      <c r="AG82" s="96"/>
      <c r="AH82" s="96">
        <v>60000</v>
      </c>
      <c r="AI82" s="18">
        <v>100000</v>
      </c>
      <c r="AJ82" s="18">
        <v>190000</v>
      </c>
      <c r="AK82" s="18"/>
      <c r="AL82" s="18"/>
      <c r="AM82" s="18"/>
      <c r="AN82" s="13"/>
      <c r="AO82" s="13"/>
      <c r="AP82" s="13"/>
      <c r="AQ82" s="13"/>
      <c r="AR82" s="13"/>
      <c r="AS82" s="13"/>
      <c r="AT82" s="13"/>
    </row>
    <row r="83" spans="1:46" x14ac:dyDescent="0.25">
      <c r="A83" s="154" t="s">
        <v>787</v>
      </c>
      <c r="B83" s="96"/>
      <c r="C83" s="96"/>
      <c r="D83" s="96"/>
      <c r="E83" s="96"/>
      <c r="F83" s="96"/>
      <c r="G83" s="96"/>
      <c r="H83" s="96"/>
      <c r="I83" s="96"/>
      <c r="J83" s="96"/>
      <c r="K83" s="96"/>
      <c r="L83" s="96"/>
      <c r="M83" s="96"/>
      <c r="N83" s="96"/>
      <c r="O83" s="96"/>
      <c r="P83" s="96"/>
      <c r="Q83" s="96"/>
      <c r="R83" s="96"/>
      <c r="S83" s="96"/>
      <c r="T83" s="96"/>
      <c r="U83" s="96"/>
      <c r="V83" s="96"/>
      <c r="W83" s="96"/>
      <c r="X83" s="96"/>
      <c r="Y83" s="96"/>
      <c r="Z83" s="96"/>
      <c r="AA83" s="96"/>
      <c r="AB83" s="96">
        <v>112000</v>
      </c>
      <c r="AC83" s="96"/>
      <c r="AD83" s="96">
        <v>92000</v>
      </c>
      <c r="AE83" s="96">
        <v>322800</v>
      </c>
      <c r="AF83" s="96"/>
      <c r="AG83" s="96">
        <v>45000</v>
      </c>
      <c r="AH83" s="96">
        <f>26000+310000</f>
        <v>336000</v>
      </c>
      <c r="AI83" s="18">
        <v>197000</v>
      </c>
      <c r="AJ83" s="18">
        <v>248000</v>
      </c>
      <c r="AK83" s="18">
        <v>200000</v>
      </c>
      <c r="AL83" s="18">
        <v>272000</v>
      </c>
      <c r="AM83" s="18">
        <v>150000</v>
      </c>
      <c r="AN83" s="13">
        <v>91000</v>
      </c>
      <c r="AO83" s="13">
        <v>150000</v>
      </c>
      <c r="AP83" s="13"/>
      <c r="AQ83" s="13"/>
      <c r="AR83" s="13"/>
      <c r="AS83" s="13"/>
      <c r="AT83" s="13"/>
    </row>
    <row r="84" spans="1:46" x14ac:dyDescent="0.25">
      <c r="A84" s="154" t="s">
        <v>1037</v>
      </c>
      <c r="B84" s="96"/>
      <c r="C84" s="96"/>
      <c r="D84" s="96"/>
      <c r="E84" s="96"/>
      <c r="F84" s="96"/>
      <c r="G84" s="96"/>
      <c r="H84" s="96"/>
      <c r="I84" s="96"/>
      <c r="J84" s="96"/>
      <c r="K84" s="96">
        <v>33000</v>
      </c>
      <c r="L84" s="96">
        <v>30500</v>
      </c>
      <c r="M84" s="96"/>
      <c r="N84" s="96"/>
      <c r="O84" s="96"/>
      <c r="P84" s="96"/>
      <c r="Q84" s="96"/>
      <c r="R84" s="96"/>
      <c r="S84" s="96"/>
      <c r="T84" s="96"/>
      <c r="U84" s="96"/>
      <c r="V84" s="96"/>
      <c r="W84" s="96"/>
      <c r="X84" s="96"/>
      <c r="Y84" s="96"/>
      <c r="Z84" s="96"/>
      <c r="AA84" s="96"/>
      <c r="AB84" s="96"/>
      <c r="AC84" s="96"/>
      <c r="AD84" s="96"/>
      <c r="AE84" s="96"/>
      <c r="AF84" s="96"/>
      <c r="AG84" s="96"/>
      <c r="AH84" s="96"/>
      <c r="AI84" s="18"/>
      <c r="AJ84" s="18"/>
      <c r="AK84" s="18"/>
      <c r="AL84" s="18"/>
      <c r="AM84" s="18"/>
      <c r="AN84" s="13"/>
      <c r="AO84" s="13"/>
      <c r="AP84" s="13"/>
      <c r="AQ84" s="13"/>
      <c r="AR84" s="13"/>
      <c r="AS84" s="13"/>
      <c r="AT84" s="13"/>
    </row>
    <row r="85" spans="1:46" x14ac:dyDescent="0.25">
      <c r="A85" s="153" t="s">
        <v>288</v>
      </c>
      <c r="B85" s="96"/>
      <c r="C85" s="96"/>
      <c r="D85" s="96"/>
      <c r="E85" s="96"/>
      <c r="F85" s="96"/>
      <c r="G85" s="96"/>
      <c r="H85" s="96"/>
      <c r="I85" s="96"/>
      <c r="J85" s="96"/>
      <c r="K85" s="96"/>
      <c r="L85" s="96"/>
      <c r="M85" s="96"/>
      <c r="N85" s="96"/>
      <c r="O85" s="96"/>
      <c r="P85" s="96"/>
      <c r="Q85" s="96"/>
      <c r="R85" s="96"/>
      <c r="S85" s="96"/>
      <c r="T85" s="96"/>
      <c r="U85" s="96"/>
      <c r="V85" s="96"/>
      <c r="W85" s="96"/>
      <c r="X85" s="96"/>
      <c r="Y85" s="96"/>
      <c r="Z85" s="96"/>
      <c r="AA85" s="96"/>
      <c r="AB85" s="96"/>
      <c r="AC85" s="96"/>
      <c r="AD85" s="96"/>
      <c r="AE85" s="96"/>
      <c r="AF85" s="96"/>
      <c r="AG85" s="96">
        <v>750000</v>
      </c>
      <c r="AH85" s="96">
        <v>1400000</v>
      </c>
      <c r="AI85" s="18">
        <v>420000</v>
      </c>
      <c r="AJ85" s="18">
        <v>10000</v>
      </c>
      <c r="AK85" s="18">
        <v>500000</v>
      </c>
      <c r="AL85" s="18">
        <v>10000</v>
      </c>
      <c r="AM85" s="18"/>
      <c r="AN85" s="13"/>
      <c r="AO85" s="13"/>
      <c r="AP85" s="13"/>
      <c r="AQ85" s="13"/>
      <c r="AR85" s="13"/>
      <c r="AS85" s="13"/>
      <c r="AT85" s="13"/>
    </row>
    <row r="86" spans="1:46" x14ac:dyDescent="0.25">
      <c r="A86" s="153" t="s">
        <v>752</v>
      </c>
      <c r="B86" s="96"/>
      <c r="C86" s="96"/>
      <c r="D86" s="96"/>
      <c r="E86" s="96"/>
      <c r="F86" s="96"/>
      <c r="G86" s="96"/>
      <c r="H86" s="96"/>
      <c r="I86" s="96"/>
      <c r="J86" s="96"/>
      <c r="K86" s="96"/>
      <c r="L86" s="96"/>
      <c r="M86" s="96"/>
      <c r="N86" s="96"/>
      <c r="O86" s="96"/>
      <c r="P86" s="96"/>
      <c r="Q86" s="96"/>
      <c r="R86" s="96"/>
      <c r="S86" s="96"/>
      <c r="T86" s="96"/>
      <c r="U86" s="96"/>
      <c r="V86" s="96"/>
      <c r="W86" s="96"/>
      <c r="X86" s="96"/>
      <c r="Y86" s="96"/>
      <c r="Z86" s="96"/>
      <c r="AA86" s="96"/>
      <c r="AB86" s="96"/>
      <c r="AC86" s="96"/>
      <c r="AD86" s="96">
        <v>165000</v>
      </c>
      <c r="AE86" s="96"/>
      <c r="AF86" s="96"/>
      <c r="AG86" s="96"/>
      <c r="AH86" s="96">
        <v>60000</v>
      </c>
      <c r="AI86" s="18"/>
      <c r="AJ86" s="18"/>
      <c r="AK86" s="18"/>
      <c r="AL86" s="18"/>
      <c r="AM86" s="18"/>
      <c r="AN86" s="13"/>
      <c r="AO86" s="13"/>
      <c r="AP86" s="13"/>
      <c r="AQ86" s="13"/>
      <c r="AR86" s="13"/>
      <c r="AS86" s="13"/>
      <c r="AT86" s="13"/>
    </row>
    <row r="87" spans="1:46" x14ac:dyDescent="0.25">
      <c r="A87" s="34"/>
      <c r="B87" s="96"/>
      <c r="C87" s="96"/>
      <c r="D87" s="96"/>
      <c r="E87" s="96"/>
      <c r="F87" s="96"/>
      <c r="G87" s="96"/>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c r="AH87" s="96"/>
      <c r="AI87" s="18"/>
      <c r="AJ87" s="18"/>
      <c r="AK87" s="18"/>
      <c r="AL87" s="18"/>
      <c r="AM87" s="18"/>
      <c r="AN87" s="13"/>
      <c r="AO87" s="13"/>
      <c r="AP87" s="13"/>
      <c r="AQ87" s="13"/>
      <c r="AR87" s="13"/>
      <c r="AS87" s="13"/>
      <c r="AT87" s="13"/>
    </row>
    <row r="88" spans="1:46" x14ac:dyDescent="0.25">
      <c r="A88" s="34" t="s">
        <v>448</v>
      </c>
      <c r="B88" s="96">
        <v>40000</v>
      </c>
      <c r="C88" s="96">
        <v>60000</v>
      </c>
      <c r="D88" s="96"/>
      <c r="E88" s="96"/>
      <c r="F88" s="96">
        <f>38038+24000</f>
        <v>62038</v>
      </c>
      <c r="G88" s="96">
        <v>492000</v>
      </c>
      <c r="H88" s="96"/>
      <c r="I88" s="96"/>
      <c r="J88" s="96">
        <v>400000</v>
      </c>
      <c r="K88" s="96">
        <f>237000+30000+30000</f>
        <v>297000</v>
      </c>
      <c r="L88" s="96">
        <f>20000+30000+526500</f>
        <v>576500</v>
      </c>
      <c r="M88" s="96">
        <v>217600</v>
      </c>
      <c r="N88" s="96">
        <v>260000</v>
      </c>
      <c r="O88" s="96">
        <v>267000</v>
      </c>
      <c r="P88" s="96">
        <v>290000</v>
      </c>
      <c r="Q88" s="96">
        <v>191500</v>
      </c>
      <c r="R88" s="96">
        <v>280000</v>
      </c>
      <c r="S88" s="96">
        <v>957000</v>
      </c>
      <c r="T88" s="96">
        <v>107500</v>
      </c>
      <c r="U88" s="96">
        <v>245600</v>
      </c>
      <c r="V88" s="96">
        <v>110000</v>
      </c>
      <c r="W88" s="96">
        <v>137600</v>
      </c>
      <c r="X88" s="96"/>
      <c r="Y88" s="96">
        <v>550000</v>
      </c>
      <c r="Z88" s="96">
        <v>223000</v>
      </c>
      <c r="AA88" s="96"/>
      <c r="AB88" s="96">
        <v>238000</v>
      </c>
      <c r="AC88" s="96">
        <v>181300</v>
      </c>
      <c r="AD88" s="96">
        <v>140000</v>
      </c>
      <c r="AE88" s="96">
        <v>1319250</v>
      </c>
      <c r="AF88" s="96">
        <v>400000</v>
      </c>
      <c r="AG88" s="96">
        <v>664500</v>
      </c>
      <c r="AH88" s="96">
        <v>2374375</v>
      </c>
      <c r="AI88" s="18">
        <v>1995250</v>
      </c>
      <c r="AJ88" s="18">
        <v>2417250</v>
      </c>
      <c r="AK88" s="18">
        <v>2000000</v>
      </c>
      <c r="AL88" s="18">
        <v>928000</v>
      </c>
      <c r="AM88" s="18">
        <v>1300000</v>
      </c>
      <c r="AN88" s="13">
        <v>2223750</v>
      </c>
      <c r="AO88" s="13">
        <v>1300000</v>
      </c>
      <c r="AP88" s="13"/>
      <c r="AQ88" s="13"/>
      <c r="AR88" s="13">
        <v>1000000</v>
      </c>
      <c r="AS88" s="13"/>
      <c r="AT88" s="13">
        <v>1039000</v>
      </c>
    </row>
    <row r="89" spans="1:46" ht="30" x14ac:dyDescent="0.25">
      <c r="A89" s="34" t="s">
        <v>950</v>
      </c>
      <c r="B89" s="96"/>
      <c r="C89" s="96"/>
      <c r="D89" s="96"/>
      <c r="E89" s="96"/>
      <c r="F89" s="96">
        <v>28000</v>
      </c>
      <c r="G89" s="96"/>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c r="AH89" s="96"/>
      <c r="AI89" s="18"/>
      <c r="AJ89" s="18"/>
      <c r="AK89" s="18"/>
      <c r="AL89" s="18"/>
      <c r="AM89" s="18"/>
      <c r="AN89" s="13"/>
      <c r="AO89" s="13"/>
      <c r="AP89" s="13"/>
      <c r="AQ89" s="13"/>
      <c r="AR89" s="13"/>
      <c r="AS89" s="13"/>
      <c r="AT89" s="13"/>
    </row>
    <row r="90" spans="1:46" x14ac:dyDescent="0.25">
      <c r="A90" s="34"/>
      <c r="B90" s="96"/>
      <c r="C90" s="96"/>
      <c r="D90" s="96"/>
      <c r="E90" s="96"/>
      <c r="F90" s="96"/>
      <c r="G90" s="96"/>
      <c r="H90" s="96"/>
      <c r="I90" s="96"/>
      <c r="J90" s="96"/>
      <c r="K90" s="96"/>
      <c r="L90" s="96"/>
      <c r="M90" s="96"/>
      <c r="N90" s="96"/>
      <c r="O90" s="96"/>
      <c r="P90" s="96"/>
      <c r="Q90" s="96"/>
      <c r="R90" s="96"/>
      <c r="S90" s="96"/>
      <c r="T90" s="96"/>
      <c r="U90" s="96"/>
      <c r="V90" s="96"/>
      <c r="W90" s="96"/>
      <c r="X90" s="96"/>
      <c r="Y90" s="96"/>
      <c r="Z90" s="96"/>
      <c r="AA90" s="96"/>
      <c r="AB90" s="96"/>
      <c r="AC90" s="96"/>
      <c r="AD90" s="96"/>
      <c r="AE90" s="96"/>
      <c r="AF90" s="96"/>
      <c r="AG90" s="96"/>
      <c r="AH90" s="96"/>
      <c r="AI90" s="18"/>
      <c r="AJ90" s="18"/>
      <c r="AK90" s="18"/>
      <c r="AL90" s="18"/>
      <c r="AM90" s="18"/>
      <c r="AN90" s="13"/>
      <c r="AO90" s="13"/>
      <c r="AP90" s="13"/>
      <c r="AQ90" s="13"/>
      <c r="AR90" s="13"/>
      <c r="AS90" s="13"/>
      <c r="AT90" s="13"/>
    </row>
    <row r="91" spans="1:46" x14ac:dyDescent="0.25">
      <c r="A91" s="34" t="s">
        <v>885</v>
      </c>
      <c r="B91" s="96"/>
      <c r="C91" s="96">
        <v>24000</v>
      </c>
      <c r="D91" s="96"/>
      <c r="E91" s="96"/>
      <c r="F91" s="96"/>
      <c r="G91" s="96"/>
      <c r="H91" s="96"/>
      <c r="I91" s="96"/>
      <c r="J91" s="96"/>
      <c r="K91" s="96"/>
      <c r="L91" s="96"/>
      <c r="M91" s="96"/>
      <c r="N91" s="96"/>
      <c r="O91" s="96"/>
      <c r="P91" s="96"/>
      <c r="Q91" s="96"/>
      <c r="R91" s="96"/>
      <c r="S91" s="96"/>
      <c r="T91" s="96"/>
      <c r="U91" s="96"/>
      <c r="V91" s="96"/>
      <c r="W91" s="96"/>
      <c r="X91" s="96"/>
      <c r="Y91" s="96"/>
      <c r="Z91" s="96"/>
      <c r="AA91" s="96"/>
      <c r="AB91" s="96"/>
      <c r="AC91" s="96"/>
      <c r="AD91" s="96"/>
      <c r="AE91" s="96"/>
      <c r="AF91" s="96"/>
      <c r="AG91" s="96"/>
      <c r="AH91" s="96"/>
      <c r="AI91" s="18"/>
      <c r="AJ91" s="18"/>
      <c r="AK91" s="18"/>
      <c r="AL91" s="18"/>
      <c r="AM91" s="18"/>
      <c r="AN91" s="13">
        <v>97000</v>
      </c>
      <c r="AO91" s="13"/>
      <c r="AP91" s="13"/>
      <c r="AQ91" s="13"/>
      <c r="AR91" s="13"/>
      <c r="AS91" s="13"/>
      <c r="AT91" s="13"/>
    </row>
    <row r="92" spans="1:46" x14ac:dyDescent="0.25">
      <c r="A92" s="34" t="s">
        <v>992</v>
      </c>
      <c r="B92" s="96"/>
      <c r="C92" s="96"/>
      <c r="D92" s="96"/>
      <c r="E92" s="96"/>
      <c r="F92" s="96"/>
      <c r="G92" s="96"/>
      <c r="H92" s="96"/>
      <c r="I92" s="96"/>
      <c r="J92" s="96"/>
      <c r="K92" s="96"/>
      <c r="L92" s="96"/>
      <c r="M92" s="96"/>
      <c r="N92" s="96"/>
      <c r="O92" s="96"/>
      <c r="P92" s="96"/>
      <c r="Q92" s="96"/>
      <c r="R92" s="96"/>
      <c r="S92" s="96"/>
      <c r="T92" s="96"/>
      <c r="U92" s="96"/>
      <c r="V92" s="96"/>
      <c r="W92" s="96"/>
      <c r="X92" s="96"/>
      <c r="Y92" s="96"/>
      <c r="Z92" s="96"/>
      <c r="AA92" s="96"/>
      <c r="AB92" s="96"/>
      <c r="AC92" s="96"/>
      <c r="AD92" s="96"/>
      <c r="AE92" s="96"/>
      <c r="AF92" s="96"/>
      <c r="AG92" s="96">
        <v>1120000</v>
      </c>
      <c r="AH92" s="96">
        <v>1177000</v>
      </c>
      <c r="AI92" s="18"/>
      <c r="AJ92" s="18"/>
      <c r="AK92" s="18">
        <f>1500000+500000</f>
        <v>2000000</v>
      </c>
      <c r="AL92" s="18">
        <v>2737000</v>
      </c>
      <c r="AM92" s="18">
        <v>2200000</v>
      </c>
      <c r="AN92" s="13">
        <v>2777000</v>
      </c>
      <c r="AO92" s="13">
        <v>2200000</v>
      </c>
      <c r="AP92" s="13"/>
      <c r="AQ92" s="13"/>
      <c r="AR92" s="13">
        <v>4000000</v>
      </c>
      <c r="AS92" s="13"/>
      <c r="AT92" s="13">
        <v>3462000</v>
      </c>
    </row>
    <row r="93" spans="1:46" x14ac:dyDescent="0.25">
      <c r="A93" s="34" t="s">
        <v>839</v>
      </c>
      <c r="B93" s="96"/>
      <c r="C93" s="96"/>
      <c r="D93" s="96"/>
      <c r="E93" s="96"/>
      <c r="F93" s="96"/>
      <c r="G93" s="96"/>
      <c r="H93" s="96"/>
      <c r="I93" s="96"/>
      <c r="J93" s="96"/>
      <c r="K93" s="96"/>
      <c r="L93" s="96"/>
      <c r="M93" s="96"/>
      <c r="N93" s="96"/>
      <c r="O93" s="96"/>
      <c r="P93" s="96"/>
      <c r="Q93" s="96"/>
      <c r="R93" s="96"/>
      <c r="S93" s="96"/>
      <c r="T93" s="96"/>
      <c r="U93" s="96"/>
      <c r="V93" s="96"/>
      <c r="W93" s="96"/>
      <c r="X93" s="96"/>
      <c r="Y93" s="96"/>
      <c r="Z93" s="96">
        <v>40880</v>
      </c>
      <c r="AA93" s="96"/>
      <c r="AB93" s="96"/>
      <c r="AC93" s="96"/>
      <c r="AD93" s="96"/>
      <c r="AE93" s="96"/>
      <c r="AF93" s="96"/>
      <c r="AG93" s="96">
        <v>442000</v>
      </c>
      <c r="AH93" s="96">
        <v>515860</v>
      </c>
      <c r="AI93" s="18">
        <v>410000</v>
      </c>
      <c r="AJ93" s="18">
        <v>303200</v>
      </c>
      <c r="AK93" s="18">
        <v>600000</v>
      </c>
      <c r="AL93" s="18">
        <v>505390</v>
      </c>
      <c r="AM93" s="18">
        <v>850000</v>
      </c>
      <c r="AN93" s="13">
        <v>357000</v>
      </c>
      <c r="AO93" s="13">
        <v>850000</v>
      </c>
      <c r="AP93" s="13"/>
      <c r="AQ93" s="13"/>
      <c r="AR93" s="13">
        <v>400000</v>
      </c>
      <c r="AS93" s="13"/>
      <c r="AT93" s="13">
        <v>300000</v>
      </c>
    </row>
    <row r="94" spans="1:46" x14ac:dyDescent="0.25">
      <c r="A94" s="34" t="s">
        <v>991</v>
      </c>
      <c r="B94" s="96"/>
      <c r="C94" s="96"/>
      <c r="D94" s="96"/>
      <c r="E94" s="96"/>
      <c r="F94" s="96"/>
      <c r="G94" s="96"/>
      <c r="H94" s="96"/>
      <c r="I94" s="96"/>
      <c r="J94" s="96"/>
      <c r="K94" s="96"/>
      <c r="L94" s="96"/>
      <c r="M94" s="96"/>
      <c r="N94" s="96"/>
      <c r="O94" s="96"/>
      <c r="P94" s="96"/>
      <c r="Q94" s="96"/>
      <c r="R94" s="96"/>
      <c r="S94" s="96"/>
      <c r="T94" s="96"/>
      <c r="U94" s="96"/>
      <c r="V94" s="96"/>
      <c r="W94" s="96"/>
      <c r="X94" s="96"/>
      <c r="Y94" s="96"/>
      <c r="Z94" s="96"/>
      <c r="AA94" s="96"/>
      <c r="AB94" s="96"/>
      <c r="AC94" s="96"/>
      <c r="AD94" s="96"/>
      <c r="AE94" s="96"/>
      <c r="AF94" s="96"/>
      <c r="AG94" s="96"/>
      <c r="AH94" s="96"/>
      <c r="AI94" s="18"/>
      <c r="AJ94" s="18"/>
      <c r="AK94" s="18"/>
      <c r="AL94" s="18"/>
      <c r="AM94" s="18"/>
      <c r="AN94" s="13"/>
      <c r="AO94" s="13"/>
      <c r="AP94" s="13"/>
      <c r="AQ94" s="13"/>
      <c r="AR94" s="13">
        <v>4000000</v>
      </c>
      <c r="AS94" s="13"/>
      <c r="AT94" s="13"/>
    </row>
    <row r="95" spans="1:46" x14ac:dyDescent="0.25">
      <c r="A95" s="34" t="s">
        <v>753</v>
      </c>
      <c r="B95" s="96"/>
      <c r="C95" s="96"/>
      <c r="D95" s="96"/>
      <c r="E95" s="96"/>
      <c r="F95" s="96"/>
      <c r="G95" s="96"/>
      <c r="H95" s="96"/>
      <c r="I95" s="96"/>
      <c r="J95" s="96"/>
      <c r="K95" s="96"/>
      <c r="L95" s="96"/>
      <c r="M95" s="96"/>
      <c r="N95" s="96"/>
      <c r="O95" s="96"/>
      <c r="P95" s="96"/>
      <c r="Q95" s="96"/>
      <c r="R95" s="96"/>
      <c r="S95" s="96"/>
      <c r="T95" s="96"/>
      <c r="U95" s="96"/>
      <c r="V95" s="96"/>
      <c r="W95" s="96"/>
      <c r="X95" s="96"/>
      <c r="Y95" s="96"/>
      <c r="Z95" s="96"/>
      <c r="AA95" s="96"/>
      <c r="AB95" s="96"/>
      <c r="AC95" s="96"/>
      <c r="AD95" s="96"/>
      <c r="AE95" s="96"/>
      <c r="AF95" s="96"/>
      <c r="AG95" s="96"/>
      <c r="AH95" s="96"/>
      <c r="AI95" s="18">
        <f>1438000+141000</f>
        <v>1579000</v>
      </c>
      <c r="AJ95" s="18"/>
      <c r="AK95" s="18"/>
      <c r="AL95" s="18"/>
      <c r="AM95" s="18"/>
      <c r="AN95" s="13"/>
      <c r="AO95" s="13"/>
      <c r="AP95" s="13"/>
      <c r="AQ95" s="13"/>
      <c r="AR95" s="13"/>
      <c r="AS95" s="13"/>
      <c r="AT95" s="13"/>
    </row>
    <row r="96" spans="1:46" x14ac:dyDescent="0.25">
      <c r="A96" s="34"/>
      <c r="B96" s="96"/>
      <c r="C96" s="96"/>
      <c r="D96" s="96"/>
      <c r="E96" s="96"/>
      <c r="F96" s="96"/>
      <c r="G96" s="96"/>
      <c r="H96" s="96"/>
      <c r="I96" s="96"/>
      <c r="J96" s="96"/>
      <c r="K96" s="96"/>
      <c r="L96" s="96"/>
      <c r="M96" s="96"/>
      <c r="N96" s="96"/>
      <c r="O96" s="96"/>
      <c r="P96" s="96"/>
      <c r="Q96" s="96"/>
      <c r="R96" s="96"/>
      <c r="S96" s="96"/>
      <c r="T96" s="96"/>
      <c r="U96" s="96"/>
      <c r="V96" s="96"/>
      <c r="W96" s="96"/>
      <c r="X96" s="96"/>
      <c r="Y96" s="96"/>
      <c r="Z96" s="96"/>
      <c r="AA96" s="96"/>
      <c r="AB96" s="96"/>
      <c r="AC96" s="96"/>
      <c r="AD96" s="96"/>
      <c r="AE96" s="96"/>
      <c r="AF96" s="96"/>
      <c r="AG96" s="96"/>
      <c r="AH96" s="96"/>
      <c r="AI96" s="18"/>
      <c r="AJ96" s="18"/>
      <c r="AK96" s="18"/>
      <c r="AL96" s="18"/>
      <c r="AM96" s="18"/>
      <c r="AN96" s="13"/>
      <c r="AO96" s="13"/>
      <c r="AP96" s="13"/>
      <c r="AQ96" s="13"/>
      <c r="AR96" s="13"/>
      <c r="AS96" s="13"/>
      <c r="AT96" s="13"/>
    </row>
    <row r="97" spans="1:46" x14ac:dyDescent="0.25">
      <c r="A97" s="34" t="s">
        <v>253</v>
      </c>
      <c r="B97" s="96"/>
      <c r="C97" s="96">
        <v>70000</v>
      </c>
      <c r="D97" s="96"/>
      <c r="E97" s="96"/>
      <c r="F97" s="96">
        <v>1181937</v>
      </c>
      <c r="G97" s="96"/>
      <c r="H97" s="96"/>
      <c r="I97" s="96"/>
      <c r="J97" s="96">
        <v>461000</v>
      </c>
      <c r="K97" s="96"/>
      <c r="L97" s="96"/>
      <c r="M97" s="96">
        <f>6080</f>
        <v>6080</v>
      </c>
      <c r="N97" s="96"/>
      <c r="O97" s="96"/>
      <c r="P97" s="96"/>
      <c r="Q97" s="96"/>
      <c r="R97" s="96"/>
      <c r="S97" s="96"/>
      <c r="T97" s="96"/>
      <c r="U97" s="96">
        <v>149050</v>
      </c>
      <c r="V97" s="96"/>
      <c r="W97" s="96"/>
      <c r="X97" s="96"/>
      <c r="Y97" s="96">
        <f>198490+694320</f>
        <v>892810</v>
      </c>
      <c r="Z97" s="96"/>
      <c r="AA97" s="96"/>
      <c r="AB97" s="96"/>
      <c r="AC97" s="96"/>
      <c r="AD97" s="96"/>
      <c r="AE97" s="96"/>
      <c r="AF97" s="96"/>
      <c r="AG97" s="96"/>
      <c r="AH97" s="96"/>
      <c r="AI97" s="18"/>
      <c r="AJ97" s="18"/>
      <c r="AK97" s="18"/>
      <c r="AL97" s="18"/>
      <c r="AM97" s="18"/>
      <c r="AN97" s="13"/>
      <c r="AO97" s="13"/>
      <c r="AP97" s="13"/>
      <c r="AQ97" s="13"/>
      <c r="AR97" s="13"/>
      <c r="AS97" s="13"/>
      <c r="AT97" s="13"/>
    </row>
    <row r="98" spans="1:46" x14ac:dyDescent="0.25">
      <c r="A98" s="34"/>
      <c r="B98" s="96"/>
      <c r="C98" s="96"/>
      <c r="D98" s="96"/>
      <c r="E98" s="96"/>
      <c r="F98" s="96"/>
      <c r="G98" s="96"/>
      <c r="H98" s="96"/>
      <c r="I98" s="96"/>
      <c r="J98" s="96"/>
      <c r="K98" s="96"/>
      <c r="L98" s="96"/>
      <c r="M98" s="96"/>
      <c r="N98" s="96"/>
      <c r="O98" s="96"/>
      <c r="P98" s="96"/>
      <c r="Q98" s="96"/>
      <c r="R98" s="96"/>
      <c r="S98" s="96"/>
      <c r="T98" s="96"/>
      <c r="U98" s="96"/>
      <c r="V98" s="96"/>
      <c r="W98" s="96"/>
      <c r="X98" s="96"/>
      <c r="Y98" s="96"/>
      <c r="Z98" s="96"/>
      <c r="AA98" s="96"/>
      <c r="AB98" s="96"/>
      <c r="AC98" s="96"/>
      <c r="AD98" s="96"/>
      <c r="AE98" s="96"/>
      <c r="AF98" s="96"/>
      <c r="AG98" s="96"/>
      <c r="AH98" s="96"/>
      <c r="AI98" s="18"/>
      <c r="AJ98" s="18"/>
      <c r="AK98" s="18"/>
      <c r="AL98" s="18"/>
      <c r="AM98" s="18"/>
      <c r="AN98" s="13"/>
      <c r="AO98" s="13"/>
      <c r="AP98" s="13"/>
      <c r="AQ98" s="13"/>
      <c r="AR98" s="13"/>
      <c r="AS98" s="13"/>
      <c r="AT98" s="13"/>
    </row>
    <row r="99" spans="1:46" x14ac:dyDescent="0.25">
      <c r="A99" s="34" t="s">
        <v>951</v>
      </c>
      <c r="B99" s="96"/>
      <c r="C99" s="96"/>
      <c r="D99" s="96"/>
      <c r="E99" s="96"/>
      <c r="F99" s="96"/>
      <c r="G99" s="96"/>
      <c r="H99" s="96"/>
      <c r="I99" s="96"/>
      <c r="J99" s="96"/>
      <c r="K99" s="96"/>
      <c r="L99" s="96"/>
      <c r="M99" s="96"/>
      <c r="N99" s="96"/>
      <c r="O99" s="96"/>
      <c r="P99" s="96"/>
      <c r="Q99" s="96">
        <v>512510</v>
      </c>
      <c r="R99" s="96"/>
      <c r="S99" s="96"/>
      <c r="T99" s="96"/>
      <c r="U99" s="96"/>
      <c r="V99" s="96"/>
      <c r="W99" s="96"/>
      <c r="X99" s="96"/>
      <c r="Y99" s="96"/>
      <c r="Z99" s="96"/>
      <c r="AA99" s="96"/>
      <c r="AB99" s="96"/>
      <c r="AC99" s="96"/>
      <c r="AD99" s="96"/>
      <c r="AE99" s="96"/>
      <c r="AF99" s="96"/>
      <c r="AG99" s="96"/>
      <c r="AH99" s="96"/>
      <c r="AI99" s="18"/>
      <c r="AJ99" s="18"/>
      <c r="AK99" s="18"/>
      <c r="AL99" s="18"/>
      <c r="AM99" s="18"/>
      <c r="AN99" s="13"/>
      <c r="AO99" s="13"/>
      <c r="AP99" s="13"/>
      <c r="AQ99" s="13"/>
      <c r="AR99" s="13"/>
      <c r="AS99" s="13"/>
      <c r="AT99" s="13"/>
    </row>
    <row r="100" spans="1:46" x14ac:dyDescent="0.25">
      <c r="A100" s="34" t="s">
        <v>789</v>
      </c>
      <c r="B100" s="96"/>
      <c r="C100" s="96"/>
      <c r="D100" s="96"/>
      <c r="E100" s="96"/>
      <c r="F100" s="96"/>
      <c r="G100" s="96"/>
      <c r="H100" s="96"/>
      <c r="I100" s="96"/>
      <c r="J100" s="96"/>
      <c r="K100" s="96"/>
      <c r="L100" s="96"/>
      <c r="M100" s="96"/>
      <c r="N100" s="96"/>
      <c r="O100" s="96"/>
      <c r="P100" s="96"/>
      <c r="Q100" s="96"/>
      <c r="R100" s="96"/>
      <c r="S100" s="96">
        <f>843200+212200+50000+63840+130400</f>
        <v>1299640</v>
      </c>
      <c r="T100" s="96">
        <f>1521070+100000+210000+100000</f>
        <v>1931070</v>
      </c>
      <c r="U100" s="96">
        <f>230000+100000+22000</f>
        <v>352000</v>
      </c>
      <c r="V100" s="96"/>
      <c r="W100" s="96"/>
      <c r="X100" s="96"/>
      <c r="Y100" s="96"/>
      <c r="Z100" s="96"/>
      <c r="AA100" s="96"/>
      <c r="AB100" s="96"/>
      <c r="AC100" s="96"/>
      <c r="AD100" s="96"/>
      <c r="AE100" s="96"/>
      <c r="AF100" s="96"/>
      <c r="AG100" s="96"/>
      <c r="AH100" s="96"/>
      <c r="AI100" s="18"/>
      <c r="AJ100" s="18"/>
      <c r="AK100" s="18"/>
      <c r="AL100" s="18"/>
      <c r="AM100" s="18"/>
      <c r="AN100" s="13"/>
      <c r="AO100" s="13"/>
      <c r="AP100" s="13"/>
      <c r="AQ100" s="13"/>
      <c r="AR100" s="13"/>
      <c r="AS100" s="13"/>
      <c r="AT100" s="13"/>
    </row>
    <row r="101" spans="1:46" x14ac:dyDescent="0.25">
      <c r="A101" s="34" t="s">
        <v>790</v>
      </c>
      <c r="B101" s="96"/>
      <c r="C101" s="96"/>
      <c r="D101" s="96"/>
      <c r="E101" s="96"/>
      <c r="F101" s="96"/>
      <c r="G101" s="96"/>
      <c r="H101" s="96"/>
      <c r="I101" s="96"/>
      <c r="J101" s="96"/>
      <c r="K101" s="96"/>
      <c r="L101" s="96"/>
      <c r="M101" s="96"/>
      <c r="N101" s="96">
        <v>145600</v>
      </c>
      <c r="O101" s="96"/>
      <c r="P101" s="96"/>
      <c r="Q101" s="96"/>
      <c r="R101" s="96"/>
      <c r="S101" s="96"/>
      <c r="T101" s="96"/>
      <c r="U101" s="96"/>
      <c r="V101" s="96"/>
      <c r="W101" s="96"/>
      <c r="X101" s="96"/>
      <c r="Y101" s="96"/>
      <c r="Z101" s="96"/>
      <c r="AA101" s="96"/>
      <c r="AB101" s="96"/>
      <c r="AC101" s="96"/>
      <c r="AD101" s="96"/>
      <c r="AE101" s="96"/>
      <c r="AF101" s="96"/>
      <c r="AG101" s="96"/>
      <c r="AH101" s="96"/>
      <c r="AI101" s="18"/>
      <c r="AJ101" s="18"/>
      <c r="AK101" s="18"/>
      <c r="AL101" s="18"/>
      <c r="AM101" s="18"/>
      <c r="AN101" s="13"/>
      <c r="AO101" s="13"/>
      <c r="AP101" s="13"/>
      <c r="AQ101" s="13"/>
      <c r="AR101" s="13"/>
      <c r="AS101" s="13"/>
      <c r="AT101" s="13"/>
    </row>
    <row r="102" spans="1:46" x14ac:dyDescent="0.25">
      <c r="A102" s="34" t="s">
        <v>791</v>
      </c>
      <c r="B102" s="96"/>
      <c r="C102" s="96"/>
      <c r="D102" s="96"/>
      <c r="E102" s="96"/>
      <c r="F102" s="96"/>
      <c r="G102" s="96"/>
      <c r="H102" s="96"/>
      <c r="I102" s="96"/>
      <c r="J102" s="96"/>
      <c r="K102" s="96"/>
      <c r="L102" s="96"/>
      <c r="M102" s="96"/>
      <c r="N102" s="96"/>
      <c r="O102" s="96"/>
      <c r="P102" s="96"/>
      <c r="Q102" s="96"/>
      <c r="R102" s="96"/>
      <c r="S102" s="96"/>
      <c r="T102" s="96"/>
      <c r="U102" s="96"/>
      <c r="V102" s="96"/>
      <c r="W102" s="96"/>
      <c r="X102" s="96"/>
      <c r="Y102" s="96"/>
      <c r="Z102" s="96"/>
      <c r="AA102" s="96"/>
      <c r="AB102" s="96"/>
      <c r="AC102" s="96"/>
      <c r="AD102" s="96"/>
      <c r="AE102" s="96"/>
      <c r="AF102" s="96"/>
      <c r="AG102" s="96">
        <v>17778</v>
      </c>
      <c r="AH102" s="96">
        <v>16000</v>
      </c>
      <c r="AI102" s="18">
        <v>18920</v>
      </c>
      <c r="AJ102" s="18"/>
      <c r="AK102" s="18"/>
      <c r="AL102" s="13"/>
      <c r="AM102" s="13"/>
      <c r="AN102" s="13"/>
      <c r="AO102" s="13"/>
      <c r="AP102" s="13"/>
      <c r="AQ102" s="13"/>
      <c r="AR102" s="13"/>
      <c r="AS102" s="13"/>
      <c r="AT102" s="13"/>
    </row>
    <row r="103" spans="1:46" x14ac:dyDescent="0.25">
      <c r="A103" s="82"/>
      <c r="B103" s="96"/>
      <c r="C103" s="96"/>
      <c r="D103" s="96"/>
      <c r="E103" s="96"/>
      <c r="F103" s="96"/>
      <c r="G103" s="96"/>
      <c r="H103" s="96"/>
      <c r="I103" s="96"/>
      <c r="J103" s="96"/>
      <c r="K103" s="96"/>
      <c r="L103" s="96"/>
      <c r="M103" s="96"/>
      <c r="N103" s="96"/>
      <c r="O103" s="96"/>
      <c r="P103" s="96"/>
      <c r="Q103" s="96"/>
      <c r="R103" s="96"/>
      <c r="S103" s="96"/>
      <c r="T103" s="96"/>
      <c r="U103" s="96"/>
      <c r="V103" s="96"/>
      <c r="W103" s="96"/>
      <c r="X103" s="96"/>
      <c r="Y103" s="96"/>
      <c r="Z103" s="96"/>
      <c r="AA103" s="96"/>
      <c r="AB103" s="96"/>
      <c r="AC103" s="96"/>
      <c r="AD103" s="96"/>
      <c r="AE103" s="96"/>
      <c r="AF103" s="96"/>
      <c r="AG103" s="96"/>
      <c r="AH103" s="96"/>
      <c r="AI103" s="18"/>
      <c r="AJ103" s="18"/>
      <c r="AK103" s="18"/>
      <c r="AL103" s="18"/>
      <c r="AM103" s="18"/>
      <c r="AN103" s="13"/>
      <c r="AO103" s="13"/>
      <c r="AP103" s="13"/>
      <c r="AQ103" s="13"/>
      <c r="AR103" s="13"/>
      <c r="AS103" s="13"/>
      <c r="AT103" s="13"/>
    </row>
    <row r="104" spans="1:46" x14ac:dyDescent="0.25">
      <c r="A104" s="89" t="s">
        <v>83</v>
      </c>
      <c r="B104" s="97">
        <f>SUM(B8:B102)</f>
        <v>464000</v>
      </c>
      <c r="C104" s="97">
        <f>SUM(C8:C102)</f>
        <v>697160</v>
      </c>
      <c r="D104" s="97">
        <f>SUM(D8:D102)</f>
        <v>0</v>
      </c>
      <c r="E104" s="97"/>
      <c r="F104" s="97">
        <f t="shared" ref="F104:Z104" si="0">SUM(F8:F102)</f>
        <v>2232858</v>
      </c>
      <c r="G104" s="97">
        <f t="shared" si="0"/>
        <v>2505550</v>
      </c>
      <c r="H104" s="97">
        <f t="shared" si="0"/>
        <v>1707618</v>
      </c>
      <c r="I104" s="97">
        <f t="shared" si="0"/>
        <v>1470370</v>
      </c>
      <c r="J104" s="97">
        <f t="shared" si="0"/>
        <v>2300000</v>
      </c>
      <c r="K104" s="97">
        <f t="shared" si="0"/>
        <v>2764224</v>
      </c>
      <c r="L104" s="97">
        <f t="shared" si="0"/>
        <v>3363470</v>
      </c>
      <c r="M104" s="97">
        <f t="shared" si="0"/>
        <v>3640790</v>
      </c>
      <c r="N104" s="97">
        <f t="shared" si="0"/>
        <v>5335125</v>
      </c>
      <c r="O104" s="97">
        <f t="shared" si="0"/>
        <v>5780000</v>
      </c>
      <c r="P104" s="97">
        <f t="shared" si="0"/>
        <v>4306000</v>
      </c>
      <c r="Q104" s="97">
        <f t="shared" si="0"/>
        <v>4873064</v>
      </c>
      <c r="R104" s="97">
        <f t="shared" si="0"/>
        <v>6139910</v>
      </c>
      <c r="S104" s="97">
        <f t="shared" si="0"/>
        <v>9323430</v>
      </c>
      <c r="T104" s="97">
        <f t="shared" si="0"/>
        <v>10375519</v>
      </c>
      <c r="U104" s="97">
        <f t="shared" si="0"/>
        <v>7729885</v>
      </c>
      <c r="V104" s="97">
        <f t="shared" si="0"/>
        <v>8260481</v>
      </c>
      <c r="W104" s="97">
        <f t="shared" si="0"/>
        <v>6016918</v>
      </c>
      <c r="X104" s="97">
        <f t="shared" si="0"/>
        <v>0</v>
      </c>
      <c r="Y104" s="97">
        <f t="shared" si="0"/>
        <v>6942810</v>
      </c>
      <c r="Z104" s="97">
        <f t="shared" si="0"/>
        <v>5124300</v>
      </c>
      <c r="AA104" s="97"/>
      <c r="AB104" s="97">
        <f t="shared" ref="AB104:AO104" si="1">SUM(AB8:AB102)</f>
        <v>5811144</v>
      </c>
      <c r="AC104" s="97">
        <f t="shared" si="1"/>
        <v>6813888</v>
      </c>
      <c r="AD104" s="97">
        <f t="shared" si="1"/>
        <v>6431065</v>
      </c>
      <c r="AE104" s="97">
        <f t="shared" si="1"/>
        <v>11251594</v>
      </c>
      <c r="AF104" s="97">
        <f t="shared" si="1"/>
        <v>13488714</v>
      </c>
      <c r="AG104" s="97">
        <f t="shared" si="1"/>
        <v>17306788</v>
      </c>
      <c r="AH104" s="97">
        <f t="shared" si="1"/>
        <v>23786008</v>
      </c>
      <c r="AI104" s="28">
        <f t="shared" si="1"/>
        <v>21332790</v>
      </c>
      <c r="AJ104" s="28">
        <f t="shared" si="1"/>
        <v>26235021</v>
      </c>
      <c r="AK104" s="28">
        <f t="shared" si="1"/>
        <v>23710000</v>
      </c>
      <c r="AL104" s="28">
        <f t="shared" si="1"/>
        <v>24078860</v>
      </c>
      <c r="AM104" s="28">
        <f t="shared" si="1"/>
        <v>25000000</v>
      </c>
      <c r="AN104" s="28">
        <f t="shared" si="1"/>
        <v>23755850</v>
      </c>
      <c r="AO104" s="28">
        <f t="shared" si="1"/>
        <v>25000000</v>
      </c>
      <c r="AP104" s="28"/>
      <c r="AQ104" s="28">
        <f>SUM(AQ8:AQ102)</f>
        <v>0</v>
      </c>
      <c r="AR104" s="28">
        <f>SUM(AR8:AR102)</f>
        <v>34978000</v>
      </c>
      <c r="AS104" s="28">
        <f>SUM(AS8:AS102)</f>
        <v>0</v>
      </c>
      <c r="AT104" s="28">
        <f>SUM(AT8:AT102)</f>
        <v>38613220</v>
      </c>
    </row>
    <row r="105" spans="1:46" x14ac:dyDescent="0.25">
      <c r="A105" s="81"/>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f>SUM(AF10:AF89)</f>
        <v>13000000</v>
      </c>
      <c r="AG105" s="97">
        <f>SUM(AG10:AG89)</f>
        <v>14946600</v>
      </c>
      <c r="AH105" s="97"/>
      <c r="AI105" s="28"/>
      <c r="AJ105" s="28"/>
      <c r="AK105" s="28"/>
      <c r="AL105" s="28"/>
      <c r="AM105" s="28"/>
      <c r="AN105" s="28"/>
      <c r="AO105" s="28"/>
      <c r="AP105" s="28"/>
      <c r="AQ105" s="28"/>
      <c r="AR105" s="28"/>
      <c r="AS105" s="28"/>
      <c r="AT105" s="28"/>
    </row>
    <row r="106" spans="1:46" x14ac:dyDescent="0.25">
      <c r="A106" s="86" t="s">
        <v>619</v>
      </c>
      <c r="B106" s="97">
        <f t="shared" ref="B106:AT106" si="2">B104-B8</f>
        <v>464000</v>
      </c>
      <c r="C106" s="97">
        <f t="shared" si="2"/>
        <v>614000</v>
      </c>
      <c r="D106" s="97">
        <f t="shared" si="2"/>
        <v>0</v>
      </c>
      <c r="E106" s="97">
        <f t="shared" si="2"/>
        <v>0</v>
      </c>
      <c r="F106" s="97">
        <f t="shared" si="2"/>
        <v>2186375</v>
      </c>
      <c r="G106" s="97">
        <f t="shared" si="2"/>
        <v>1404800</v>
      </c>
      <c r="H106" s="97">
        <f t="shared" si="2"/>
        <v>877692</v>
      </c>
      <c r="I106" s="97">
        <f t="shared" si="2"/>
        <v>1412820</v>
      </c>
      <c r="J106" s="97">
        <f t="shared" si="2"/>
        <v>2300000</v>
      </c>
      <c r="K106" s="97">
        <f t="shared" si="2"/>
        <v>2260160</v>
      </c>
      <c r="L106" s="97">
        <f t="shared" si="2"/>
        <v>2541620</v>
      </c>
      <c r="M106" s="97">
        <f t="shared" si="2"/>
        <v>3506080</v>
      </c>
      <c r="N106" s="97">
        <f t="shared" si="2"/>
        <v>3665658</v>
      </c>
      <c r="O106" s="97">
        <f t="shared" si="2"/>
        <v>4263875</v>
      </c>
      <c r="P106" s="97">
        <f t="shared" si="2"/>
        <v>3832700</v>
      </c>
      <c r="Q106" s="97">
        <f t="shared" si="2"/>
        <v>4400608</v>
      </c>
      <c r="R106" s="97">
        <f t="shared" si="2"/>
        <v>4147600</v>
      </c>
      <c r="S106" s="97">
        <f t="shared" si="2"/>
        <v>6175910</v>
      </c>
      <c r="T106" s="97">
        <f t="shared" si="2"/>
        <v>5601956</v>
      </c>
      <c r="U106" s="97">
        <f t="shared" si="2"/>
        <v>2956322</v>
      </c>
      <c r="V106" s="97">
        <f t="shared" si="2"/>
        <v>3648000</v>
      </c>
      <c r="W106" s="97">
        <f t="shared" si="2"/>
        <v>3599980</v>
      </c>
      <c r="X106" s="97">
        <f t="shared" si="2"/>
        <v>0</v>
      </c>
      <c r="Y106" s="97">
        <f t="shared" si="2"/>
        <v>6942810</v>
      </c>
      <c r="Z106" s="97">
        <f t="shared" si="2"/>
        <v>4915800</v>
      </c>
      <c r="AA106" s="97">
        <f t="shared" si="2"/>
        <v>0</v>
      </c>
      <c r="AB106" s="97">
        <f t="shared" si="2"/>
        <v>5503260</v>
      </c>
      <c r="AC106" s="97">
        <f t="shared" si="2"/>
        <v>5260720</v>
      </c>
      <c r="AD106" s="97">
        <f t="shared" si="2"/>
        <v>6431065</v>
      </c>
      <c r="AE106" s="97">
        <f t="shared" si="2"/>
        <v>10762880</v>
      </c>
      <c r="AF106" s="97">
        <f t="shared" si="2"/>
        <v>13000000</v>
      </c>
      <c r="AG106" s="97">
        <f t="shared" si="2"/>
        <v>16526378</v>
      </c>
      <c r="AH106" s="97">
        <f t="shared" si="2"/>
        <v>23371055</v>
      </c>
      <c r="AI106" s="97">
        <f t="shared" si="2"/>
        <v>21332790</v>
      </c>
      <c r="AJ106" s="97">
        <f t="shared" si="2"/>
        <v>25779990</v>
      </c>
      <c r="AK106" s="97">
        <f t="shared" si="2"/>
        <v>23710000</v>
      </c>
      <c r="AL106" s="97">
        <f t="shared" si="2"/>
        <v>23908110</v>
      </c>
      <c r="AM106" s="97">
        <f t="shared" si="2"/>
        <v>25000000</v>
      </c>
      <c r="AN106" s="97">
        <f t="shared" si="2"/>
        <v>23552790</v>
      </c>
      <c r="AO106" s="97">
        <f t="shared" si="2"/>
        <v>25000000</v>
      </c>
      <c r="AP106" s="97">
        <f t="shared" si="2"/>
        <v>0</v>
      </c>
      <c r="AQ106" s="97">
        <f t="shared" si="2"/>
        <v>0</v>
      </c>
      <c r="AR106" s="97">
        <f t="shared" si="2"/>
        <v>34978000</v>
      </c>
      <c r="AS106" s="97">
        <f t="shared" si="2"/>
        <v>0</v>
      </c>
      <c r="AT106" s="97">
        <f t="shared" si="2"/>
        <v>38613220</v>
      </c>
    </row>
    <row r="108" spans="1:46" s="92" customFormat="1" x14ac:dyDescent="0.25">
      <c r="A108" s="147"/>
    </row>
    <row r="110" spans="1:46" x14ac:dyDescent="0.25">
      <c r="A110" s="78" t="s">
        <v>301</v>
      </c>
    </row>
    <row r="111" spans="1:46" x14ac:dyDescent="0.25">
      <c r="A111" s="79" t="s">
        <v>761</v>
      </c>
      <c r="B111" s="16" t="s">
        <v>1129</v>
      </c>
      <c r="C111" s="15" t="s">
        <v>1158</v>
      </c>
      <c r="D111" s="15"/>
      <c r="E111" s="16"/>
      <c r="F111" s="16" t="s">
        <v>694</v>
      </c>
      <c r="G111" s="16" t="s">
        <v>511</v>
      </c>
      <c r="H111" s="16" t="s">
        <v>0</v>
      </c>
      <c r="I111" s="16" t="s">
        <v>1168</v>
      </c>
      <c r="J111" s="16" t="s">
        <v>1159</v>
      </c>
      <c r="K111" s="16" t="s">
        <v>1160</v>
      </c>
      <c r="L111" s="16" t="s">
        <v>1160</v>
      </c>
      <c r="M111" s="15" t="s">
        <v>512</v>
      </c>
      <c r="N111" s="16" t="s">
        <v>695</v>
      </c>
      <c r="O111" s="16" t="s">
        <v>695</v>
      </c>
      <c r="P111" s="15" t="s">
        <v>696</v>
      </c>
      <c r="Q111" s="16" t="s">
        <v>1161</v>
      </c>
      <c r="R111" s="16" t="s">
        <v>1161</v>
      </c>
      <c r="S111" s="16" t="s">
        <v>4</v>
      </c>
      <c r="T111" s="16" t="s">
        <v>697</v>
      </c>
      <c r="U111" s="16" t="s">
        <v>697</v>
      </c>
      <c r="V111" s="16" t="s">
        <v>697</v>
      </c>
      <c r="W111" s="15" t="s">
        <v>698</v>
      </c>
      <c r="X111" s="15"/>
      <c r="Y111" s="15" t="s">
        <v>698</v>
      </c>
      <c r="Z111" s="16" t="s">
        <v>1162</v>
      </c>
      <c r="AA111" s="16"/>
      <c r="AB111" s="16" t="s">
        <v>699</v>
      </c>
      <c r="AC111" s="15" t="s">
        <v>699</v>
      </c>
      <c r="AD111" s="16" t="s">
        <v>317</v>
      </c>
      <c r="AE111" s="16" t="s">
        <v>1163</v>
      </c>
      <c r="AF111" s="16" t="s">
        <v>317</v>
      </c>
      <c r="AG111" s="16" t="s">
        <v>700</v>
      </c>
      <c r="AH111" s="16" t="s">
        <v>1153</v>
      </c>
      <c r="AI111" s="15" t="s">
        <v>518</v>
      </c>
      <c r="AJ111" s="22" t="s">
        <v>701</v>
      </c>
      <c r="AK111" s="16" t="s">
        <v>702</v>
      </c>
      <c r="AL111" s="16" t="s">
        <v>703</v>
      </c>
      <c r="AM111" s="16" t="s">
        <v>1164</v>
      </c>
      <c r="AN111" s="16" t="s">
        <v>1165</v>
      </c>
      <c r="AO111" s="16" t="s">
        <v>1164</v>
      </c>
      <c r="AP111" s="16"/>
      <c r="AQ111" s="16"/>
      <c r="AR111" s="16" t="s">
        <v>1166</v>
      </c>
      <c r="AS111" s="16"/>
      <c r="AT111" s="16" t="s">
        <v>1167</v>
      </c>
    </row>
    <row r="112" spans="1:46" x14ac:dyDescent="0.25">
      <c r="A112" s="79" t="s">
        <v>762</v>
      </c>
      <c r="B112" s="16" t="s">
        <v>1318</v>
      </c>
      <c r="C112" s="15" t="s">
        <v>1319</v>
      </c>
      <c r="D112" s="15"/>
      <c r="E112" s="16"/>
      <c r="F112" s="16" t="s">
        <v>1320</v>
      </c>
      <c r="G112" s="16" t="s">
        <v>1321</v>
      </c>
      <c r="H112" s="16" t="s">
        <v>1322</v>
      </c>
      <c r="I112" s="16" t="s">
        <v>1348</v>
      </c>
      <c r="J112" s="16" t="s">
        <v>1323</v>
      </c>
      <c r="K112" s="16" t="s">
        <v>1324</v>
      </c>
      <c r="L112" s="16" t="s">
        <v>1349</v>
      </c>
      <c r="M112" s="15" t="s">
        <v>1325</v>
      </c>
      <c r="N112" s="16" t="s">
        <v>1326</v>
      </c>
      <c r="O112" s="16" t="s">
        <v>1326</v>
      </c>
      <c r="P112" s="15" t="s">
        <v>1327</v>
      </c>
      <c r="Q112" s="16" t="s">
        <v>1328</v>
      </c>
      <c r="R112" s="16" t="s">
        <v>1328</v>
      </c>
      <c r="S112" s="16" t="s">
        <v>1329</v>
      </c>
      <c r="T112" s="16" t="s">
        <v>1330</v>
      </c>
      <c r="U112" s="16" t="s">
        <v>1331</v>
      </c>
      <c r="V112" s="16" t="s">
        <v>1330</v>
      </c>
      <c r="W112" s="15" t="s">
        <v>1332</v>
      </c>
      <c r="X112" s="15"/>
      <c r="Y112" s="15" t="s">
        <v>1332</v>
      </c>
      <c r="Z112" s="16" t="s">
        <v>1333</v>
      </c>
      <c r="AA112" s="16"/>
      <c r="AB112" s="16" t="s">
        <v>1334</v>
      </c>
      <c r="AC112" s="15" t="s">
        <v>1335</v>
      </c>
      <c r="AD112" s="16" t="s">
        <v>1336</v>
      </c>
      <c r="AE112" s="16" t="s">
        <v>1337</v>
      </c>
      <c r="AF112" s="16" t="s">
        <v>1336</v>
      </c>
      <c r="AG112" s="16" t="s">
        <v>1338</v>
      </c>
      <c r="AH112" s="16" t="s">
        <v>1339</v>
      </c>
      <c r="AI112" s="15" t="s">
        <v>1340</v>
      </c>
      <c r="AJ112" s="22" t="s">
        <v>1341</v>
      </c>
      <c r="AK112" s="16" t="s">
        <v>1342</v>
      </c>
      <c r="AL112" s="16" t="s">
        <v>1343</v>
      </c>
      <c r="AM112" s="16" t="s">
        <v>1344</v>
      </c>
      <c r="AN112" s="16" t="s">
        <v>1345</v>
      </c>
      <c r="AO112" s="16" t="s">
        <v>1344</v>
      </c>
      <c r="AP112" s="16"/>
      <c r="AQ112" s="16"/>
      <c r="AR112" s="16" t="s">
        <v>1346</v>
      </c>
      <c r="AS112" s="16"/>
      <c r="AT112" s="16" t="s">
        <v>1347</v>
      </c>
    </row>
    <row r="113" spans="1:46" x14ac:dyDescent="0.25">
      <c r="A113" s="80" t="s">
        <v>85</v>
      </c>
      <c r="B113" s="24">
        <v>1846</v>
      </c>
      <c r="C113" s="24">
        <v>1847</v>
      </c>
      <c r="D113" s="24">
        <v>48</v>
      </c>
      <c r="E113" s="24">
        <v>49</v>
      </c>
      <c r="F113" s="24">
        <v>1850</v>
      </c>
      <c r="G113" s="24">
        <v>1851</v>
      </c>
      <c r="H113" s="24">
        <v>1852</v>
      </c>
      <c r="I113" s="24">
        <v>1853</v>
      </c>
      <c r="J113" s="24">
        <v>1854</v>
      </c>
      <c r="K113" s="24">
        <v>1855</v>
      </c>
      <c r="L113" s="24">
        <v>1856</v>
      </c>
      <c r="M113" s="24">
        <v>1857</v>
      </c>
      <c r="N113" s="24">
        <v>1858</v>
      </c>
      <c r="O113" s="24">
        <v>1859</v>
      </c>
      <c r="P113" s="24">
        <v>1860</v>
      </c>
      <c r="Q113" s="24">
        <v>1861</v>
      </c>
      <c r="R113" s="24">
        <v>1862</v>
      </c>
      <c r="S113" s="24" t="s">
        <v>337</v>
      </c>
      <c r="T113" s="24" t="s">
        <v>203</v>
      </c>
      <c r="U113" s="24" t="s">
        <v>204</v>
      </c>
      <c r="V113" s="24" t="s">
        <v>205</v>
      </c>
      <c r="W113" s="24" t="s">
        <v>206</v>
      </c>
      <c r="X113" s="24">
        <v>68</v>
      </c>
      <c r="Y113" s="24" t="s">
        <v>208</v>
      </c>
      <c r="Z113" s="24" t="s">
        <v>209</v>
      </c>
      <c r="AA113" s="24">
        <v>71</v>
      </c>
      <c r="AB113" s="24" t="s">
        <v>211</v>
      </c>
      <c r="AC113" s="24" t="s">
        <v>212</v>
      </c>
      <c r="AD113" s="24" t="s">
        <v>22</v>
      </c>
      <c r="AE113" s="24" t="s">
        <v>213</v>
      </c>
      <c r="AF113" s="24" t="s">
        <v>214</v>
      </c>
      <c r="AG113" s="24" t="s">
        <v>294</v>
      </c>
      <c r="AH113" s="24" t="s">
        <v>216</v>
      </c>
      <c r="AI113" s="25" t="s">
        <v>23</v>
      </c>
      <c r="AJ113" s="24" t="s">
        <v>24</v>
      </c>
      <c r="AK113" s="24" t="s">
        <v>25</v>
      </c>
      <c r="AL113" s="24" t="s">
        <v>26</v>
      </c>
      <c r="AM113" s="24" t="s">
        <v>27</v>
      </c>
      <c r="AN113" s="24" t="s">
        <v>28</v>
      </c>
      <c r="AO113" s="24" t="s">
        <v>29</v>
      </c>
      <c r="AP113" s="24" t="s">
        <v>30</v>
      </c>
      <c r="AQ113" s="24" t="s">
        <v>31</v>
      </c>
      <c r="AR113" s="24" t="s">
        <v>32</v>
      </c>
      <c r="AS113" s="24" t="s">
        <v>33</v>
      </c>
      <c r="AT113" s="24" t="s">
        <v>217</v>
      </c>
    </row>
    <row r="114" spans="1:46" x14ac:dyDescent="0.25">
      <c r="A114" s="79" t="s">
        <v>86</v>
      </c>
      <c r="B114" s="16" t="s">
        <v>704</v>
      </c>
      <c r="C114" s="15" t="s">
        <v>705</v>
      </c>
      <c r="D114" s="15"/>
      <c r="E114" s="16"/>
      <c r="F114" s="16" t="s">
        <v>706</v>
      </c>
      <c r="G114" s="16" t="s">
        <v>707</v>
      </c>
      <c r="H114" s="16" t="s">
        <v>708</v>
      </c>
      <c r="I114" s="16" t="s">
        <v>709</v>
      </c>
      <c r="J114" s="16" t="s">
        <v>709</v>
      </c>
      <c r="K114" s="16" t="s">
        <v>710</v>
      </c>
      <c r="L114" s="16" t="s">
        <v>710</v>
      </c>
      <c r="M114" s="15" t="s">
        <v>711</v>
      </c>
      <c r="N114" s="16" t="s">
        <v>712</v>
      </c>
      <c r="O114" s="16" t="s">
        <v>712</v>
      </c>
      <c r="P114" s="15" t="s">
        <v>713</v>
      </c>
      <c r="Q114" s="16" t="s">
        <v>714</v>
      </c>
      <c r="R114" s="16" t="s">
        <v>714</v>
      </c>
      <c r="S114" s="16" t="s">
        <v>715</v>
      </c>
      <c r="T114" s="16" t="s">
        <v>716</v>
      </c>
      <c r="U114" s="16" t="s">
        <v>717</v>
      </c>
      <c r="V114" s="16" t="s">
        <v>716</v>
      </c>
      <c r="W114" s="15" t="s">
        <v>718</v>
      </c>
      <c r="X114" s="15"/>
      <c r="Y114" s="15" t="s">
        <v>718</v>
      </c>
      <c r="Z114" s="16" t="s">
        <v>719</v>
      </c>
      <c r="AA114" s="16"/>
      <c r="AB114" s="16" t="s">
        <v>720</v>
      </c>
      <c r="AC114" s="15" t="s">
        <v>721</v>
      </c>
      <c r="AD114" s="16" t="s">
        <v>722</v>
      </c>
      <c r="AE114" s="16" t="s">
        <v>723</v>
      </c>
      <c r="AF114" s="16" t="s">
        <v>722</v>
      </c>
      <c r="AG114" s="16" t="s">
        <v>724</v>
      </c>
      <c r="AH114" s="16" t="s">
        <v>725</v>
      </c>
      <c r="AI114" s="15" t="s">
        <v>726</v>
      </c>
      <c r="AJ114" s="22" t="s">
        <v>727</v>
      </c>
      <c r="AK114" s="16" t="s">
        <v>726</v>
      </c>
      <c r="AL114" s="16" t="s">
        <v>728</v>
      </c>
      <c r="AM114" s="16" t="s">
        <v>729</v>
      </c>
      <c r="AN114" s="16" t="s">
        <v>730</v>
      </c>
      <c r="AO114" s="16" t="s">
        <v>729</v>
      </c>
      <c r="AP114" s="16"/>
      <c r="AQ114" s="16"/>
      <c r="AR114" s="16" t="s">
        <v>731</v>
      </c>
      <c r="AS114" s="16"/>
      <c r="AT114" s="16" t="s">
        <v>732</v>
      </c>
    </row>
    <row r="115" spans="1:46" x14ac:dyDescent="0.25">
      <c r="A115" s="79" t="s">
        <v>84</v>
      </c>
      <c r="B115" s="93" t="s">
        <v>71</v>
      </c>
      <c r="C115" s="93" t="s">
        <v>71</v>
      </c>
      <c r="D115" s="22"/>
      <c r="E115" s="22"/>
      <c r="F115" s="22" t="s">
        <v>70</v>
      </c>
      <c r="G115" s="22" t="s">
        <v>70</v>
      </c>
      <c r="H115" s="22" t="s">
        <v>70</v>
      </c>
      <c r="I115" s="22" t="s">
        <v>70</v>
      </c>
      <c r="J115" s="93" t="s">
        <v>71</v>
      </c>
      <c r="K115" s="22" t="s">
        <v>70</v>
      </c>
      <c r="L115" s="22" t="s">
        <v>70</v>
      </c>
      <c r="M115" s="22" t="s">
        <v>70</v>
      </c>
      <c r="N115" s="22" t="s">
        <v>70</v>
      </c>
      <c r="O115" s="93" t="s">
        <v>71</v>
      </c>
      <c r="P115" s="93" t="s">
        <v>71</v>
      </c>
      <c r="Q115" s="22" t="s">
        <v>70</v>
      </c>
      <c r="R115" s="93" t="s">
        <v>71</v>
      </c>
      <c r="S115" s="22" t="s">
        <v>70</v>
      </c>
      <c r="T115" s="22" t="s">
        <v>70</v>
      </c>
      <c r="U115" s="22" t="s">
        <v>70</v>
      </c>
      <c r="V115" s="93" t="s">
        <v>71</v>
      </c>
      <c r="W115" s="22" t="s">
        <v>70</v>
      </c>
      <c r="X115" s="22"/>
      <c r="Y115" s="93" t="s">
        <v>71</v>
      </c>
      <c r="Z115" s="22" t="s">
        <v>70</v>
      </c>
      <c r="AA115" s="22"/>
      <c r="AB115" s="22" t="s">
        <v>70</v>
      </c>
      <c r="AC115" s="22" t="s">
        <v>70</v>
      </c>
      <c r="AD115" s="22" t="s">
        <v>70</v>
      </c>
      <c r="AE115" s="22" t="s">
        <v>70</v>
      </c>
      <c r="AF115" s="22" t="s">
        <v>71</v>
      </c>
      <c r="AG115" s="22" t="s">
        <v>70</v>
      </c>
      <c r="AH115" s="22" t="s">
        <v>70</v>
      </c>
      <c r="AI115" s="22" t="s">
        <v>70</v>
      </c>
      <c r="AJ115" s="22" t="s">
        <v>70</v>
      </c>
      <c r="AK115" s="22" t="s">
        <v>71</v>
      </c>
      <c r="AL115" s="22" t="s">
        <v>70</v>
      </c>
      <c r="AM115" s="22" t="s">
        <v>70</v>
      </c>
      <c r="AN115" s="22" t="s">
        <v>70</v>
      </c>
      <c r="AO115" s="93" t="s">
        <v>71</v>
      </c>
      <c r="AP115" s="22"/>
      <c r="AQ115" s="22"/>
      <c r="AR115" s="93" t="s">
        <v>71</v>
      </c>
      <c r="AS115" s="22"/>
      <c r="AT115" s="93" t="s">
        <v>71</v>
      </c>
    </row>
    <row r="116" spans="1:46" x14ac:dyDescent="0.25">
      <c r="A116" s="89"/>
      <c r="B116" s="28"/>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17"/>
      <c r="AO116" s="17"/>
      <c r="AP116" s="17"/>
      <c r="AQ116" s="17"/>
      <c r="AR116" s="17"/>
      <c r="AS116" s="17"/>
      <c r="AT116" s="17"/>
    </row>
    <row r="117" spans="1:46" x14ac:dyDescent="0.25">
      <c r="A117" s="88" t="s">
        <v>129</v>
      </c>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v>333470</v>
      </c>
      <c r="Z117" s="19"/>
      <c r="AA117" s="19"/>
      <c r="AB117" s="19"/>
      <c r="AC117" s="19"/>
      <c r="AD117" s="19"/>
      <c r="AE117" s="19"/>
      <c r="AF117" s="19"/>
      <c r="AG117" s="19"/>
      <c r="AH117" s="19"/>
      <c r="AI117" s="17">
        <v>1429900</v>
      </c>
      <c r="AJ117" s="17"/>
      <c r="AK117" s="17"/>
      <c r="AL117" s="17"/>
      <c r="AM117" s="17"/>
      <c r="AN117" s="17"/>
      <c r="AO117" s="17"/>
      <c r="AP117" s="17"/>
      <c r="AQ117" s="17"/>
      <c r="AR117" s="17"/>
      <c r="AS117" s="17"/>
      <c r="AT117" s="17"/>
    </row>
    <row r="118" spans="1:46" x14ac:dyDescent="0.25">
      <c r="A118" s="148" t="s">
        <v>624</v>
      </c>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6"/>
      <c r="AJ118" s="16"/>
      <c r="AK118" s="16"/>
      <c r="AL118" s="16"/>
      <c r="AM118" s="16"/>
      <c r="AN118" s="17"/>
      <c r="AO118" s="17"/>
      <c r="AP118" s="17"/>
      <c r="AQ118" s="17"/>
      <c r="AR118" s="17"/>
      <c r="AS118" s="17"/>
      <c r="AT118" s="17"/>
    </row>
    <row r="119" spans="1:46" x14ac:dyDescent="0.25">
      <c r="A119" s="88" t="s">
        <v>130</v>
      </c>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v>445322</v>
      </c>
      <c r="AI119" s="17">
        <v>480000</v>
      </c>
      <c r="AJ119" s="17">
        <v>480000</v>
      </c>
      <c r="AK119" s="17">
        <v>480000</v>
      </c>
      <c r="AL119" s="17">
        <v>480000</v>
      </c>
      <c r="AM119" s="17">
        <v>583990</v>
      </c>
      <c r="AN119" s="17">
        <v>480000</v>
      </c>
      <c r="AO119" s="17">
        <v>480000</v>
      </c>
      <c r="AP119" s="17"/>
      <c r="AQ119" s="17"/>
      <c r="AR119" s="17">
        <v>480000</v>
      </c>
      <c r="AS119" s="17"/>
      <c r="AT119" s="17">
        <v>480000</v>
      </c>
    </row>
    <row r="120" spans="1:46" x14ac:dyDescent="0.25">
      <c r="A120" s="88" t="s">
        <v>754</v>
      </c>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v>400000</v>
      </c>
      <c r="AG120" s="19"/>
      <c r="AH120" s="19">
        <v>333332</v>
      </c>
      <c r="AI120" s="17">
        <v>106666</v>
      </c>
      <c r="AJ120" s="17"/>
      <c r="AK120" s="17">
        <v>400000</v>
      </c>
      <c r="AL120" s="17">
        <v>400000</v>
      </c>
      <c r="AM120" s="17">
        <v>500000</v>
      </c>
      <c r="AN120" s="17">
        <v>200000</v>
      </c>
      <c r="AO120" s="17"/>
      <c r="AP120" s="17"/>
      <c r="AQ120" s="17"/>
      <c r="AR120" s="17"/>
      <c r="AS120" s="17"/>
      <c r="AT120" s="17"/>
    </row>
    <row r="121" spans="1:46" x14ac:dyDescent="0.25">
      <c r="A121" s="88" t="s">
        <v>887</v>
      </c>
      <c r="B121" s="19"/>
      <c r="C121" s="19"/>
      <c r="D121" s="19"/>
      <c r="E121" s="19"/>
      <c r="F121" s="19">
        <v>67840</v>
      </c>
      <c r="G121" s="19">
        <v>80000</v>
      </c>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7"/>
      <c r="AH121" s="19"/>
      <c r="AI121" s="17"/>
      <c r="AJ121" s="17">
        <v>49500</v>
      </c>
      <c r="AK121" s="17"/>
      <c r="AL121" s="17"/>
      <c r="AM121" s="17"/>
      <c r="AN121" s="17"/>
      <c r="AO121" s="17"/>
      <c r="AP121" s="17"/>
      <c r="AQ121" s="17"/>
      <c r="AR121" s="17"/>
      <c r="AS121" s="17"/>
      <c r="AT121" s="17"/>
    </row>
    <row r="122" spans="1:46" x14ac:dyDescent="0.25">
      <c r="A122" s="105" t="s">
        <v>953</v>
      </c>
      <c r="B122" s="19"/>
      <c r="C122" s="19"/>
      <c r="D122" s="19"/>
      <c r="E122" s="19"/>
      <c r="F122" s="19"/>
      <c r="G122" s="19"/>
      <c r="H122" s="19"/>
      <c r="I122" s="19"/>
      <c r="J122" s="19"/>
      <c r="K122" s="19">
        <v>7000</v>
      </c>
      <c r="L122" s="19">
        <v>4000</v>
      </c>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7"/>
      <c r="AJ122" s="17"/>
      <c r="AK122" s="17"/>
      <c r="AL122" s="17"/>
      <c r="AM122" s="17"/>
      <c r="AN122" s="17"/>
      <c r="AO122" s="17"/>
      <c r="AP122" s="17"/>
      <c r="AQ122" s="17"/>
      <c r="AR122" s="17"/>
      <c r="AS122" s="17"/>
      <c r="AT122" s="17"/>
    </row>
    <row r="123" spans="1:46" x14ac:dyDescent="0.25">
      <c r="A123" s="88" t="s">
        <v>684</v>
      </c>
      <c r="B123" s="19"/>
      <c r="C123" s="19"/>
      <c r="D123" s="19"/>
      <c r="E123" s="19"/>
      <c r="F123" s="19"/>
      <c r="G123" s="19"/>
      <c r="H123" s="19"/>
      <c r="I123" s="19"/>
      <c r="J123" s="19"/>
      <c r="K123" s="19"/>
      <c r="L123" s="19"/>
      <c r="M123" s="19"/>
      <c r="N123" s="19"/>
      <c r="O123" s="19"/>
      <c r="P123" s="19"/>
      <c r="Q123" s="19"/>
      <c r="R123" s="19"/>
      <c r="S123" s="19"/>
      <c r="T123" s="19">
        <v>50000</v>
      </c>
      <c r="U123" s="19">
        <v>38890</v>
      </c>
      <c r="V123" s="19">
        <v>50000</v>
      </c>
      <c r="W123" s="19">
        <v>25000</v>
      </c>
      <c r="X123" s="19"/>
      <c r="Y123" s="19">
        <v>50000</v>
      </c>
      <c r="Z123" s="19">
        <v>50000</v>
      </c>
      <c r="AA123" s="19"/>
      <c r="AB123" s="19"/>
      <c r="AC123" s="19">
        <v>50000</v>
      </c>
      <c r="AD123" s="19">
        <v>50000</v>
      </c>
      <c r="AE123" s="19">
        <v>34890</v>
      </c>
      <c r="AF123" s="19">
        <v>50000</v>
      </c>
      <c r="AG123" s="19"/>
      <c r="AH123" s="19">
        <v>60413</v>
      </c>
      <c r="AI123" s="17">
        <v>50000</v>
      </c>
      <c r="AJ123" s="17">
        <v>125000</v>
      </c>
      <c r="AK123" s="17">
        <v>200000</v>
      </c>
      <c r="AL123" s="17">
        <v>200000</v>
      </c>
      <c r="AM123" s="17">
        <v>200000</v>
      </c>
      <c r="AN123" s="17">
        <v>200000</v>
      </c>
      <c r="AO123" s="17">
        <v>200000</v>
      </c>
      <c r="AP123" s="17"/>
      <c r="AQ123" s="17"/>
      <c r="AR123" s="17">
        <v>300000</v>
      </c>
      <c r="AS123" s="17"/>
      <c r="AT123" s="17">
        <v>300000</v>
      </c>
    </row>
    <row r="124" spans="1:46" x14ac:dyDescent="0.25">
      <c r="A124" s="88" t="s">
        <v>796</v>
      </c>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v>171400</v>
      </c>
      <c r="AI124" s="17">
        <v>132900</v>
      </c>
      <c r="AJ124" s="17">
        <v>133700</v>
      </c>
      <c r="AK124" s="17">
        <v>200000</v>
      </c>
      <c r="AL124" s="17">
        <v>80800</v>
      </c>
      <c r="AM124" s="17">
        <v>88580</v>
      </c>
      <c r="AN124" s="17">
        <f>67000+6000</f>
        <v>73000</v>
      </c>
      <c r="AO124" s="17">
        <v>80000</v>
      </c>
      <c r="AP124" s="17"/>
      <c r="AQ124" s="17"/>
      <c r="AR124" s="17">
        <v>100000</v>
      </c>
      <c r="AS124" s="17"/>
      <c r="AT124" s="17">
        <v>100000</v>
      </c>
    </row>
    <row r="125" spans="1:46" x14ac:dyDescent="0.25">
      <c r="A125" s="75" t="s">
        <v>886</v>
      </c>
      <c r="B125" s="19">
        <v>50000</v>
      </c>
      <c r="C125" s="19">
        <v>50000</v>
      </c>
      <c r="D125" s="19"/>
      <c r="E125" s="19"/>
      <c r="F125" s="19">
        <v>50000</v>
      </c>
      <c r="G125" s="19">
        <v>60000</v>
      </c>
      <c r="H125" s="19">
        <v>70000</v>
      </c>
      <c r="I125" s="30">
        <v>54460</v>
      </c>
      <c r="J125" s="19">
        <v>70000</v>
      </c>
      <c r="K125" s="19">
        <v>85000</v>
      </c>
      <c r="L125" s="19">
        <v>100000</v>
      </c>
      <c r="M125" s="19">
        <v>100000</v>
      </c>
      <c r="N125" s="19">
        <v>150000</v>
      </c>
      <c r="O125" s="19">
        <v>150000</v>
      </c>
      <c r="P125" s="19">
        <v>200000</v>
      </c>
      <c r="Q125" s="19">
        <v>150000</v>
      </c>
      <c r="R125" s="19">
        <v>200000</v>
      </c>
      <c r="S125" s="30">
        <v>173842</v>
      </c>
      <c r="T125" s="19">
        <v>200000</v>
      </c>
      <c r="U125" s="19">
        <v>200000</v>
      </c>
      <c r="V125" s="19">
        <v>300000</v>
      </c>
      <c r="W125" s="19">
        <v>197766</v>
      </c>
      <c r="X125" s="19"/>
      <c r="Y125" s="19">
        <v>500000</v>
      </c>
      <c r="Z125" s="19">
        <v>500000</v>
      </c>
      <c r="AA125" s="19"/>
      <c r="AB125" s="19"/>
      <c r="AC125" s="19">
        <v>500000</v>
      </c>
      <c r="AD125" s="19">
        <v>500000</v>
      </c>
      <c r="AE125" s="19">
        <v>499896</v>
      </c>
      <c r="AF125" s="19">
        <v>500000</v>
      </c>
      <c r="AG125" s="17">
        <v>1000000</v>
      </c>
      <c r="AH125" s="19">
        <v>999600</v>
      </c>
      <c r="AI125" s="17">
        <v>1000000</v>
      </c>
      <c r="AJ125" s="17">
        <v>1000000</v>
      </c>
      <c r="AK125" s="17">
        <v>1000000</v>
      </c>
      <c r="AL125" s="17">
        <v>1000000</v>
      </c>
      <c r="AM125" s="17">
        <v>1249980</v>
      </c>
      <c r="AN125" s="17">
        <v>1000000</v>
      </c>
      <c r="AO125" s="17">
        <v>1000000</v>
      </c>
      <c r="AP125" s="17"/>
      <c r="AQ125" s="17"/>
      <c r="AR125" s="17">
        <v>1000000</v>
      </c>
      <c r="AS125" s="17"/>
      <c r="AT125" s="17">
        <v>1800000</v>
      </c>
    </row>
    <row r="126" spans="1:46" x14ac:dyDescent="0.25">
      <c r="A126" s="88" t="s">
        <v>793</v>
      </c>
      <c r="B126" s="19"/>
      <c r="C126" s="19"/>
      <c r="D126" s="19"/>
      <c r="E126" s="19"/>
      <c r="F126" s="19"/>
      <c r="G126" s="19"/>
      <c r="H126" s="19"/>
      <c r="I126" s="19"/>
      <c r="J126" s="19"/>
      <c r="K126" s="19"/>
      <c r="L126" s="19"/>
      <c r="M126" s="19"/>
      <c r="N126" s="19"/>
      <c r="O126" s="19">
        <v>50000</v>
      </c>
      <c r="P126" s="19"/>
      <c r="Q126" s="19"/>
      <c r="R126" s="19"/>
      <c r="S126" s="19"/>
      <c r="T126" s="19"/>
      <c r="U126" s="19"/>
      <c r="V126" s="19"/>
      <c r="W126" s="19"/>
      <c r="X126" s="19"/>
      <c r="Y126" s="19"/>
      <c r="Z126" s="19"/>
      <c r="AA126" s="19"/>
      <c r="AB126" s="19"/>
      <c r="AC126" s="19"/>
      <c r="AD126" s="19"/>
      <c r="AE126" s="19"/>
      <c r="AF126" s="19"/>
      <c r="AG126" s="19"/>
      <c r="AH126" s="19"/>
      <c r="AI126" s="17"/>
      <c r="AJ126" s="17"/>
      <c r="AK126" s="17"/>
      <c r="AL126" s="17"/>
      <c r="AM126" s="17"/>
      <c r="AN126" s="17"/>
      <c r="AO126" s="17"/>
      <c r="AP126" s="17"/>
      <c r="AQ126" s="17"/>
      <c r="AR126" s="17"/>
      <c r="AS126" s="17"/>
      <c r="AT126" s="17"/>
    </row>
    <row r="127" spans="1:46" x14ac:dyDescent="0.25">
      <c r="A127" s="88" t="s">
        <v>794</v>
      </c>
      <c r="B127" s="19"/>
      <c r="C127" s="19"/>
      <c r="D127" s="19"/>
      <c r="E127" s="19"/>
      <c r="F127" s="19"/>
      <c r="G127" s="19"/>
      <c r="H127" s="19"/>
      <c r="I127" s="19"/>
      <c r="J127" s="19"/>
      <c r="K127" s="19"/>
      <c r="L127" s="19"/>
      <c r="M127" s="19"/>
      <c r="N127" s="19"/>
      <c r="O127" s="19">
        <v>50000</v>
      </c>
      <c r="P127" s="19">
        <v>50000</v>
      </c>
      <c r="Q127" s="19">
        <v>50000</v>
      </c>
      <c r="R127" s="19">
        <v>50000</v>
      </c>
      <c r="S127" s="30">
        <v>75000</v>
      </c>
      <c r="T127" s="19">
        <v>60744</v>
      </c>
      <c r="U127" s="19"/>
      <c r="V127" s="19">
        <v>50000</v>
      </c>
      <c r="W127" s="19"/>
      <c r="X127" s="19"/>
      <c r="Y127" s="19"/>
      <c r="Z127" s="19"/>
      <c r="AA127" s="19"/>
      <c r="AB127" s="19"/>
      <c r="AC127" s="19"/>
      <c r="AD127" s="19"/>
      <c r="AE127" s="19"/>
      <c r="AF127" s="19"/>
      <c r="AG127" s="19"/>
      <c r="AH127" s="19"/>
      <c r="AI127" s="17"/>
      <c r="AJ127" s="17"/>
      <c r="AK127" s="17"/>
      <c r="AL127" s="17"/>
      <c r="AM127" s="17"/>
      <c r="AN127" s="17"/>
      <c r="AO127" s="17"/>
      <c r="AP127" s="17"/>
      <c r="AQ127" s="17"/>
      <c r="AR127" s="17"/>
      <c r="AS127" s="17"/>
      <c r="AT127" s="17"/>
    </row>
    <row r="128" spans="1:46" x14ac:dyDescent="0.25">
      <c r="A128" s="88" t="s">
        <v>795</v>
      </c>
      <c r="B128" s="19"/>
      <c r="C128" s="19"/>
      <c r="D128" s="19"/>
      <c r="E128" s="19"/>
      <c r="F128" s="19"/>
      <c r="G128" s="19"/>
      <c r="H128" s="19"/>
      <c r="I128" s="19"/>
      <c r="J128" s="19"/>
      <c r="K128" s="19"/>
      <c r="L128" s="19"/>
      <c r="M128" s="19"/>
      <c r="N128" s="19"/>
      <c r="O128" s="19">
        <v>30000</v>
      </c>
      <c r="P128" s="19">
        <v>30000</v>
      </c>
      <c r="Q128" s="19">
        <v>30000</v>
      </c>
      <c r="R128" s="19">
        <v>30000</v>
      </c>
      <c r="S128" s="19"/>
      <c r="T128" s="19">
        <v>7500</v>
      </c>
      <c r="U128" s="19">
        <v>32400</v>
      </c>
      <c r="V128" s="19">
        <v>30000</v>
      </c>
      <c r="W128" s="19">
        <v>60000</v>
      </c>
      <c r="X128" s="19"/>
      <c r="Y128" s="19">
        <v>50000</v>
      </c>
      <c r="Z128" s="19">
        <v>75000</v>
      </c>
      <c r="AA128" s="19"/>
      <c r="AB128" s="19"/>
      <c r="AC128" s="19">
        <v>50000</v>
      </c>
      <c r="AD128" s="19">
        <v>35411</v>
      </c>
      <c r="AE128" s="19">
        <v>29160</v>
      </c>
      <c r="AF128" s="19">
        <v>50000</v>
      </c>
      <c r="AG128" s="19"/>
      <c r="AH128" s="19">
        <v>17124</v>
      </c>
      <c r="AI128" s="17">
        <v>50000</v>
      </c>
      <c r="AJ128" s="17"/>
      <c r="AK128" s="17">
        <v>50000</v>
      </c>
      <c r="AL128" s="17">
        <v>39000</v>
      </c>
      <c r="AM128" s="17">
        <v>100000</v>
      </c>
      <c r="AN128" s="17">
        <v>100000</v>
      </c>
      <c r="AO128" s="17">
        <v>100000</v>
      </c>
      <c r="AP128" s="17"/>
      <c r="AQ128" s="17"/>
      <c r="AR128" s="17">
        <v>100000</v>
      </c>
      <c r="AS128" s="17"/>
      <c r="AT128" s="17">
        <v>100000</v>
      </c>
    </row>
    <row r="129" spans="1:46" x14ac:dyDescent="0.25">
      <c r="A129" s="88" t="s">
        <v>792</v>
      </c>
      <c r="B129" s="19"/>
      <c r="C129" s="19"/>
      <c r="D129" s="19"/>
      <c r="E129" s="19"/>
      <c r="F129" s="19"/>
      <c r="G129" s="19"/>
      <c r="H129" s="19"/>
      <c r="I129" s="19"/>
      <c r="J129" s="19"/>
      <c r="K129" s="19"/>
      <c r="L129" s="19"/>
      <c r="M129" s="19"/>
      <c r="N129" s="19"/>
      <c r="O129" s="19">
        <v>30000</v>
      </c>
      <c r="P129" s="19"/>
      <c r="Q129" s="19"/>
      <c r="R129" s="19"/>
      <c r="S129" s="19"/>
      <c r="T129" s="19"/>
      <c r="U129" s="19"/>
      <c r="V129" s="19"/>
      <c r="W129" s="19"/>
      <c r="X129" s="19"/>
      <c r="Y129" s="19"/>
      <c r="Z129" s="19"/>
      <c r="AA129" s="19"/>
      <c r="AB129" s="19"/>
      <c r="AC129" s="19"/>
      <c r="AD129" s="19"/>
      <c r="AE129" s="19"/>
      <c r="AF129" s="19"/>
      <c r="AG129" s="19"/>
      <c r="AH129" s="19"/>
      <c r="AI129" s="17"/>
      <c r="AJ129" s="17"/>
      <c r="AK129" s="17"/>
      <c r="AL129" s="17"/>
      <c r="AM129" s="17"/>
      <c r="AN129" s="17"/>
      <c r="AO129" s="17"/>
      <c r="AP129" s="17"/>
      <c r="AQ129" s="17"/>
      <c r="AR129" s="17"/>
      <c r="AS129" s="17"/>
      <c r="AT129" s="17"/>
    </row>
    <row r="130" spans="1:46" x14ac:dyDescent="0.25">
      <c r="A130" s="75" t="s">
        <v>466</v>
      </c>
      <c r="B130" s="19">
        <v>24000</v>
      </c>
      <c r="C130" s="19">
        <v>24000</v>
      </c>
      <c r="D130" s="19"/>
      <c r="E130" s="19"/>
      <c r="F130" s="19">
        <v>30000</v>
      </c>
      <c r="G130" s="19">
        <v>40000</v>
      </c>
      <c r="H130" s="19">
        <v>60000</v>
      </c>
      <c r="I130" s="30">
        <v>54000</v>
      </c>
      <c r="J130" s="19">
        <v>60000</v>
      </c>
      <c r="K130" s="19">
        <v>60000</v>
      </c>
      <c r="L130" s="19">
        <v>60000</v>
      </c>
      <c r="M130" s="19">
        <v>60000</v>
      </c>
      <c r="N130" s="19">
        <v>70000</v>
      </c>
      <c r="O130" s="19">
        <v>70000</v>
      </c>
      <c r="P130" s="19">
        <v>70000</v>
      </c>
      <c r="Q130" s="19">
        <v>70000</v>
      </c>
      <c r="R130" s="19">
        <v>100000</v>
      </c>
      <c r="S130" s="30">
        <v>98060</v>
      </c>
      <c r="T130" s="19">
        <v>83333</v>
      </c>
      <c r="U130" s="19">
        <v>100000</v>
      </c>
      <c r="V130" s="19">
        <v>100000</v>
      </c>
      <c r="W130" s="19">
        <v>100000</v>
      </c>
      <c r="X130" s="19"/>
      <c r="Y130" s="19">
        <v>100000</v>
      </c>
      <c r="Z130" s="19">
        <v>106500</v>
      </c>
      <c r="AA130" s="19"/>
      <c r="AB130" s="19"/>
      <c r="AC130" s="19">
        <v>100000</v>
      </c>
      <c r="AD130" s="19">
        <v>100000</v>
      </c>
      <c r="AE130" s="19">
        <v>100000</v>
      </c>
      <c r="AF130" s="19">
        <v>100000</v>
      </c>
      <c r="AG130" s="19">
        <v>100000</v>
      </c>
      <c r="AH130" s="19">
        <v>106047</v>
      </c>
      <c r="AI130" s="17">
        <v>91733</v>
      </c>
      <c r="AJ130" s="17">
        <v>200000</v>
      </c>
      <c r="AK130" s="17">
        <v>300000</v>
      </c>
      <c r="AL130" s="17">
        <v>300000</v>
      </c>
      <c r="AM130" s="17">
        <v>373160</v>
      </c>
      <c r="AN130" s="17">
        <v>300000</v>
      </c>
      <c r="AO130" s="17">
        <v>300000</v>
      </c>
      <c r="AP130" s="17"/>
      <c r="AQ130" s="17"/>
      <c r="AR130" s="17">
        <v>300000</v>
      </c>
      <c r="AS130" s="17"/>
      <c r="AT130" s="17">
        <v>300000</v>
      </c>
    </row>
    <row r="131" spans="1:46" x14ac:dyDescent="0.25">
      <c r="A131" s="75" t="s">
        <v>629</v>
      </c>
      <c r="B131" s="19"/>
      <c r="C131" s="19">
        <v>100000</v>
      </c>
      <c r="D131" s="19"/>
      <c r="E131" s="19"/>
      <c r="F131" s="19">
        <v>98857</v>
      </c>
      <c r="G131" s="19">
        <v>117033</v>
      </c>
      <c r="H131" s="19"/>
      <c r="I131" s="30">
        <v>187736</v>
      </c>
      <c r="J131" s="19">
        <v>200000</v>
      </c>
      <c r="K131" s="19">
        <v>271219</v>
      </c>
      <c r="L131" s="19">
        <v>304994</v>
      </c>
      <c r="M131" s="19">
        <f>210227*2</f>
        <v>420454</v>
      </c>
      <c r="N131" s="19">
        <f>199628*2</f>
        <v>399256</v>
      </c>
      <c r="O131" s="19"/>
      <c r="P131" s="19"/>
      <c r="Q131" s="19">
        <f>196872*2</f>
        <v>393744</v>
      </c>
      <c r="R131" s="19"/>
      <c r="S131" s="30">
        <v>448324</v>
      </c>
      <c r="T131" s="19">
        <v>284486</v>
      </c>
      <c r="U131" s="19">
        <v>195160</v>
      </c>
      <c r="V131" s="19">
        <v>400000</v>
      </c>
      <c r="W131" s="19">
        <v>431995</v>
      </c>
      <c r="X131" s="19"/>
      <c r="Y131" s="19">
        <v>700490</v>
      </c>
      <c r="Z131" s="19">
        <v>589896</v>
      </c>
      <c r="AA131" s="19"/>
      <c r="AB131" s="19"/>
      <c r="AC131" s="19">
        <v>631286</v>
      </c>
      <c r="AD131" s="19">
        <v>771727</v>
      </c>
      <c r="AE131" s="19">
        <v>1296242</v>
      </c>
      <c r="AF131" s="19">
        <v>1560000</v>
      </c>
      <c r="AG131" s="19">
        <v>2027319</v>
      </c>
      <c r="AH131" s="19">
        <v>2804525</v>
      </c>
      <c r="AI131" s="17">
        <v>2602666</v>
      </c>
      <c r="AJ131" s="17">
        <v>3111342</v>
      </c>
      <c r="AK131" s="17">
        <v>2845200</v>
      </c>
      <c r="AL131" s="17">
        <v>2874352</v>
      </c>
      <c r="AM131" s="17">
        <v>2822680</v>
      </c>
      <c r="AN131" s="17">
        <v>2807520</v>
      </c>
      <c r="AO131" s="17">
        <v>3000000</v>
      </c>
      <c r="AP131" s="17"/>
      <c r="AQ131" s="17"/>
      <c r="AR131" s="17">
        <v>3438500</v>
      </c>
      <c r="AS131" s="17"/>
      <c r="AT131" s="17">
        <v>3477090</v>
      </c>
    </row>
    <row r="132" spans="1:46" x14ac:dyDescent="0.25">
      <c r="A132" s="75" t="s">
        <v>625</v>
      </c>
      <c r="B132" s="19">
        <v>100000</v>
      </c>
      <c r="C132" s="19">
        <v>100000</v>
      </c>
      <c r="D132" s="19"/>
      <c r="E132" s="19"/>
      <c r="F132" s="19">
        <v>100000</v>
      </c>
      <c r="G132" s="19">
        <v>130000</v>
      </c>
      <c r="H132" s="19">
        <v>150000</v>
      </c>
      <c r="I132" s="30">
        <v>150000</v>
      </c>
      <c r="J132" s="19">
        <v>150000</v>
      </c>
      <c r="K132" s="19">
        <v>175000</v>
      </c>
      <c r="L132" s="19">
        <v>200000</v>
      </c>
      <c r="M132" s="19">
        <v>200000</v>
      </c>
      <c r="N132" s="19">
        <v>250000</v>
      </c>
      <c r="O132" s="19">
        <v>250000</v>
      </c>
      <c r="P132" s="19">
        <v>250000</v>
      </c>
      <c r="Q132" s="19">
        <v>250000</v>
      </c>
      <c r="R132" s="19">
        <v>300000</v>
      </c>
      <c r="S132" s="30">
        <v>294170</v>
      </c>
      <c r="T132" s="19">
        <v>305837</v>
      </c>
      <c r="U132" s="19">
        <v>300000</v>
      </c>
      <c r="V132" s="19">
        <v>400000</v>
      </c>
      <c r="W132" s="19">
        <v>300000</v>
      </c>
      <c r="X132" s="19"/>
      <c r="Y132" s="19">
        <v>300000</v>
      </c>
      <c r="Z132" s="19">
        <v>400000</v>
      </c>
      <c r="AA132" s="19"/>
      <c r="AB132" s="19"/>
      <c r="AC132" s="19">
        <v>400000</v>
      </c>
      <c r="AD132" s="19">
        <v>400000</v>
      </c>
      <c r="AE132" s="19">
        <v>400000</v>
      </c>
      <c r="AF132" s="19">
        <v>400000</v>
      </c>
      <c r="AG132" s="17">
        <v>800000</v>
      </c>
      <c r="AH132" s="19">
        <v>600000</v>
      </c>
      <c r="AI132" s="17">
        <v>800000</v>
      </c>
      <c r="AJ132" s="17">
        <v>800000</v>
      </c>
      <c r="AK132" s="17">
        <v>800000</v>
      </c>
      <c r="AL132" s="17">
        <v>800000</v>
      </c>
      <c r="AM132" s="17">
        <v>800000</v>
      </c>
      <c r="AN132" s="17">
        <v>800000</v>
      </c>
      <c r="AO132" s="17">
        <v>800000</v>
      </c>
      <c r="AP132" s="17"/>
      <c r="AQ132" s="17"/>
      <c r="AR132" s="17">
        <v>800000</v>
      </c>
      <c r="AS132" s="17"/>
      <c r="AT132" s="17">
        <v>800000</v>
      </c>
    </row>
    <row r="133" spans="1:46" x14ac:dyDescent="0.25">
      <c r="A133" s="88" t="s">
        <v>296</v>
      </c>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c r="AH133" s="19"/>
      <c r="AI133" s="17"/>
      <c r="AJ133" s="17"/>
      <c r="AK133" s="17"/>
      <c r="AL133" s="17"/>
      <c r="AM133" s="17"/>
      <c r="AN133" s="17"/>
      <c r="AO133" s="17"/>
      <c r="AP133" s="17"/>
      <c r="AQ133" s="17"/>
      <c r="AR133" s="17">
        <v>1000000</v>
      </c>
      <c r="AS133" s="17"/>
      <c r="AT133" s="17">
        <v>1000000</v>
      </c>
    </row>
    <row r="134" spans="1:46" x14ac:dyDescent="0.25">
      <c r="A134" s="88" t="s">
        <v>952</v>
      </c>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7"/>
      <c r="AJ134" s="17"/>
      <c r="AK134" s="17"/>
      <c r="AL134" s="17"/>
      <c r="AM134" s="17"/>
      <c r="AN134" s="17"/>
      <c r="AO134" s="17"/>
      <c r="AP134" s="17"/>
      <c r="AQ134" s="17"/>
      <c r="AR134" s="17">
        <v>960000</v>
      </c>
      <c r="AS134" s="17"/>
      <c r="AT134" s="17">
        <v>960000</v>
      </c>
    </row>
    <row r="135" spans="1:46" x14ac:dyDescent="0.25">
      <c r="A135" s="88"/>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7"/>
      <c r="AH135" s="19"/>
      <c r="AI135" s="17"/>
      <c r="AJ135" s="17"/>
      <c r="AK135" s="17"/>
      <c r="AL135" s="17"/>
      <c r="AM135" s="17"/>
      <c r="AN135" s="17"/>
      <c r="AO135" s="17"/>
      <c r="AP135" s="17"/>
      <c r="AQ135" s="17"/>
      <c r="AR135" s="17"/>
      <c r="AS135" s="17"/>
      <c r="AT135" s="17"/>
    </row>
    <row r="136" spans="1:46" x14ac:dyDescent="0.25">
      <c r="A136" s="81" t="s">
        <v>303</v>
      </c>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7"/>
      <c r="AJ136" s="17"/>
      <c r="AK136" s="17"/>
      <c r="AL136" s="17"/>
      <c r="AM136" s="17"/>
      <c r="AN136" s="17"/>
      <c r="AO136" s="17"/>
      <c r="AP136" s="17"/>
      <c r="AQ136" s="17"/>
      <c r="AR136" s="17"/>
      <c r="AS136" s="17"/>
      <c r="AT136" s="17"/>
    </row>
    <row r="137" spans="1:46" x14ac:dyDescent="0.25">
      <c r="A137" s="88" t="s">
        <v>757</v>
      </c>
      <c r="B137" s="19"/>
      <c r="C137" s="19"/>
      <c r="D137" s="19"/>
      <c r="E137" s="19"/>
      <c r="F137" s="19"/>
      <c r="G137" s="19"/>
      <c r="H137" s="19"/>
      <c r="I137" s="19"/>
      <c r="J137" s="19"/>
      <c r="K137" s="19"/>
      <c r="L137" s="19"/>
      <c r="M137" s="19"/>
      <c r="N137" s="19"/>
      <c r="O137" s="19"/>
      <c r="P137" s="19"/>
      <c r="Q137" s="19"/>
      <c r="R137" s="19"/>
      <c r="S137" s="30">
        <f>63940+50720</f>
        <v>114660</v>
      </c>
      <c r="T137" s="19"/>
      <c r="U137" s="19"/>
      <c r="V137" s="19"/>
      <c r="W137" s="19"/>
      <c r="X137" s="19"/>
      <c r="Y137" s="19"/>
      <c r="Z137" s="19"/>
      <c r="AA137" s="19"/>
      <c r="AB137" s="19"/>
      <c r="AC137" s="19"/>
      <c r="AD137" s="19"/>
      <c r="AE137" s="19"/>
      <c r="AF137" s="19"/>
      <c r="AG137" s="19"/>
      <c r="AH137" s="19"/>
      <c r="AI137" s="17"/>
      <c r="AJ137" s="17"/>
      <c r="AK137" s="17"/>
      <c r="AL137" s="17"/>
      <c r="AM137" s="17"/>
      <c r="AN137" s="17"/>
      <c r="AO137" s="17"/>
      <c r="AP137" s="17"/>
      <c r="AQ137" s="17"/>
      <c r="AR137" s="17"/>
      <c r="AS137" s="17"/>
      <c r="AT137" s="17"/>
    </row>
    <row r="138" spans="1:46" x14ac:dyDescent="0.25">
      <c r="A138" s="88" t="s">
        <v>1048</v>
      </c>
      <c r="B138" s="19"/>
      <c r="C138" s="19"/>
      <c r="D138" s="19"/>
      <c r="E138" s="19"/>
      <c r="F138" s="19"/>
      <c r="G138" s="19"/>
      <c r="H138" s="19"/>
      <c r="I138" s="19"/>
      <c r="J138" s="19"/>
      <c r="K138" s="19"/>
      <c r="L138" s="19"/>
      <c r="M138" s="19">
        <v>134710</v>
      </c>
      <c r="N138" s="19"/>
      <c r="O138" s="19"/>
      <c r="P138" s="19"/>
      <c r="Q138" s="19"/>
      <c r="R138" s="19"/>
      <c r="S138" s="19"/>
      <c r="T138" s="19"/>
      <c r="U138" s="19"/>
      <c r="V138" s="19"/>
      <c r="W138" s="19"/>
      <c r="X138" s="19"/>
      <c r="Y138" s="19"/>
      <c r="Z138" s="19"/>
      <c r="AA138" s="19"/>
      <c r="AB138" s="19"/>
      <c r="AC138" s="19"/>
      <c r="AD138" s="19"/>
      <c r="AE138" s="19"/>
      <c r="AF138" s="19"/>
      <c r="AG138" s="19"/>
      <c r="AH138" s="19"/>
      <c r="AI138" s="17"/>
      <c r="AJ138" s="17"/>
      <c r="AK138" s="17"/>
      <c r="AL138" s="17"/>
      <c r="AM138" s="17"/>
      <c r="AN138" s="17"/>
      <c r="AO138" s="17"/>
      <c r="AP138" s="17"/>
      <c r="AQ138" s="17"/>
      <c r="AR138" s="17"/>
      <c r="AS138" s="17"/>
      <c r="AT138" s="17"/>
    </row>
    <row r="139" spans="1:46" x14ac:dyDescent="0.25">
      <c r="A139" s="88" t="s">
        <v>755</v>
      </c>
      <c r="B139" s="19"/>
      <c r="C139" s="19"/>
      <c r="D139" s="19"/>
      <c r="E139" s="19"/>
      <c r="F139" s="19"/>
      <c r="G139" s="19"/>
      <c r="H139" s="19"/>
      <c r="I139" s="19"/>
      <c r="J139" s="19"/>
      <c r="K139" s="19">
        <v>80000</v>
      </c>
      <c r="L139" s="19">
        <v>97500</v>
      </c>
      <c r="M139" s="19">
        <v>190000</v>
      </c>
      <c r="N139" s="19"/>
      <c r="O139" s="19">
        <v>400000</v>
      </c>
      <c r="P139" s="19"/>
      <c r="Q139" s="19"/>
      <c r="R139" s="19">
        <v>600000</v>
      </c>
      <c r="S139" s="19"/>
      <c r="T139" s="19">
        <v>80000</v>
      </c>
      <c r="U139" s="19"/>
      <c r="V139" s="19">
        <v>650000</v>
      </c>
      <c r="W139" s="19">
        <v>230000</v>
      </c>
      <c r="X139" s="19"/>
      <c r="Y139" s="19">
        <v>200000</v>
      </c>
      <c r="Z139" s="19"/>
      <c r="AA139" s="19"/>
      <c r="AB139" s="19"/>
      <c r="AC139" s="19"/>
      <c r="AD139" s="19"/>
      <c r="AE139" s="19">
        <v>420200</v>
      </c>
      <c r="AF139" s="19">
        <v>800000</v>
      </c>
      <c r="AG139" s="19"/>
      <c r="AH139" s="19"/>
      <c r="AI139" s="17">
        <v>1308400</v>
      </c>
      <c r="AJ139" s="17">
        <v>554150</v>
      </c>
      <c r="AK139" s="17">
        <v>1000000</v>
      </c>
      <c r="AL139" s="17"/>
      <c r="AM139" s="17"/>
      <c r="AN139" s="17"/>
      <c r="AO139" s="17">
        <v>300000</v>
      </c>
      <c r="AP139" s="17"/>
      <c r="AQ139" s="17"/>
      <c r="AR139" s="17">
        <v>500000</v>
      </c>
      <c r="AS139" s="17"/>
      <c r="AT139" s="17">
        <v>400000</v>
      </c>
    </row>
    <row r="140" spans="1:46" x14ac:dyDescent="0.25">
      <c r="A140" s="43" t="s">
        <v>870</v>
      </c>
      <c r="B140" s="19"/>
      <c r="C140" s="19"/>
      <c r="D140" s="19"/>
      <c r="E140" s="19"/>
      <c r="F140" s="19">
        <v>198740</v>
      </c>
      <c r="G140" s="19">
        <v>97360</v>
      </c>
      <c r="H140" s="19"/>
      <c r="I140" s="19"/>
      <c r="J140" s="19"/>
      <c r="K140" s="19"/>
      <c r="L140" s="19"/>
      <c r="M140" s="19"/>
      <c r="N140" s="19"/>
      <c r="O140" s="19"/>
      <c r="P140" s="19"/>
      <c r="Q140" s="19"/>
      <c r="R140" s="19"/>
      <c r="S140" s="19"/>
      <c r="T140" s="19"/>
      <c r="U140" s="19">
        <v>167310</v>
      </c>
      <c r="V140" s="19">
        <v>100000</v>
      </c>
      <c r="W140" s="19">
        <v>68760</v>
      </c>
      <c r="X140" s="19"/>
      <c r="Y140" s="19">
        <v>200000</v>
      </c>
      <c r="Z140" s="19">
        <v>180760</v>
      </c>
      <c r="AA140" s="19"/>
      <c r="AB140" s="19">
        <v>200000</v>
      </c>
      <c r="AC140" s="19">
        <v>200000</v>
      </c>
      <c r="AD140" s="19">
        <v>13000</v>
      </c>
      <c r="AE140" s="19">
        <v>81280</v>
      </c>
      <c r="AF140" s="19">
        <v>500000</v>
      </c>
      <c r="AG140" s="19">
        <v>236000</v>
      </c>
      <c r="AH140" s="19">
        <v>684000</v>
      </c>
      <c r="AI140" s="17"/>
      <c r="AJ140" s="17">
        <v>600000</v>
      </c>
      <c r="AK140" s="17"/>
      <c r="AL140" s="17">
        <v>696000</v>
      </c>
      <c r="AM140" s="17">
        <v>530000</v>
      </c>
      <c r="AN140" s="17">
        <v>285300</v>
      </c>
      <c r="AO140" s="17">
        <v>600000</v>
      </c>
      <c r="AP140" s="17"/>
      <c r="AQ140" s="17"/>
      <c r="AR140" s="17">
        <v>150000</v>
      </c>
      <c r="AS140" s="17"/>
      <c r="AT140" s="17">
        <v>100000</v>
      </c>
    </row>
    <row r="141" spans="1:46" x14ac:dyDescent="0.25">
      <c r="A141" s="75" t="s">
        <v>687</v>
      </c>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c r="AA141" s="19"/>
      <c r="AB141" s="19">
        <v>340880</v>
      </c>
      <c r="AC141" s="19"/>
      <c r="AD141" s="19"/>
      <c r="AE141" s="19"/>
      <c r="AF141" s="19">
        <v>1000000</v>
      </c>
      <c r="AG141" s="19">
        <v>2999872</v>
      </c>
      <c r="AH141" s="19">
        <v>2186525</v>
      </c>
      <c r="AI141" s="17">
        <v>1719460</v>
      </c>
      <c r="AJ141" s="17">
        <v>5813254</v>
      </c>
      <c r="AK141" s="17">
        <v>4800000</v>
      </c>
      <c r="AL141" s="17">
        <v>2924520</v>
      </c>
      <c r="AM141" s="17">
        <v>3499430</v>
      </c>
      <c r="AN141" s="17">
        <v>4692720</v>
      </c>
      <c r="AO141" s="17">
        <v>5500000</v>
      </c>
      <c r="AP141" s="17"/>
      <c r="AQ141" s="17"/>
      <c r="AR141" s="17">
        <v>8680000</v>
      </c>
      <c r="AS141" s="17"/>
      <c r="AT141" s="17">
        <v>11724000</v>
      </c>
    </row>
    <row r="142" spans="1:46" x14ac:dyDescent="0.25">
      <c r="A142" s="88" t="s">
        <v>797</v>
      </c>
      <c r="B142" s="19"/>
      <c r="C142" s="19"/>
      <c r="D142" s="19"/>
      <c r="E142" s="19"/>
      <c r="F142" s="19"/>
      <c r="G142" s="19"/>
      <c r="H142" s="19"/>
      <c r="I142" s="19"/>
      <c r="J142" s="19"/>
      <c r="K142" s="19"/>
      <c r="L142" s="19"/>
      <c r="M142" s="19"/>
      <c r="N142" s="19"/>
      <c r="O142" s="19"/>
      <c r="P142" s="19"/>
      <c r="Q142" s="19"/>
      <c r="R142" s="19"/>
      <c r="S142" s="19"/>
      <c r="T142" s="19">
        <f>410000+1521070</f>
        <v>1931070</v>
      </c>
      <c r="U142" s="19">
        <f>20000+22000</f>
        <v>42000</v>
      </c>
      <c r="V142" s="19"/>
      <c r="W142" s="19"/>
      <c r="X142" s="19"/>
      <c r="Y142" s="19"/>
      <c r="Z142" s="19"/>
      <c r="AA142" s="19"/>
      <c r="AB142" s="19"/>
      <c r="AC142" s="19"/>
      <c r="AD142" s="19"/>
      <c r="AE142" s="19"/>
      <c r="AF142" s="19"/>
      <c r="AG142" s="19"/>
      <c r="AH142" s="19"/>
      <c r="AI142" s="17"/>
      <c r="AJ142" s="17"/>
      <c r="AK142" s="17"/>
      <c r="AL142" s="17"/>
      <c r="AM142" s="17"/>
      <c r="AN142" s="17"/>
      <c r="AO142" s="17"/>
      <c r="AP142" s="17"/>
      <c r="AQ142" s="17"/>
      <c r="AR142" s="17"/>
      <c r="AS142" s="17"/>
      <c r="AT142" s="17"/>
    </row>
    <row r="143" spans="1:46" x14ac:dyDescent="0.25">
      <c r="A143" s="75" t="s">
        <v>688</v>
      </c>
      <c r="B143" s="19">
        <v>100000</v>
      </c>
      <c r="C143" s="19">
        <v>398160</v>
      </c>
      <c r="D143" s="19"/>
      <c r="E143" s="19"/>
      <c r="F143" s="19">
        <v>174500</v>
      </c>
      <c r="G143" s="19">
        <v>155340</v>
      </c>
      <c r="H143" s="19">
        <v>711769</v>
      </c>
      <c r="I143" s="30">
        <v>498644</v>
      </c>
      <c r="J143" s="19">
        <f>1150000</f>
        <v>1150000</v>
      </c>
      <c r="K143" s="19">
        <v>115117</v>
      </c>
      <c r="L143" s="19">
        <v>651833</v>
      </c>
      <c r="M143" s="19"/>
      <c r="N143" s="19">
        <v>1805170</v>
      </c>
      <c r="O143" s="19">
        <v>2969140</v>
      </c>
      <c r="P143" s="19">
        <v>1806000</v>
      </c>
      <c r="Q143" s="19">
        <v>1739000</v>
      </c>
      <c r="R143" s="19">
        <v>3609660</v>
      </c>
      <c r="S143" s="30">
        <v>2580570</v>
      </c>
      <c r="T143" s="19">
        <v>1567180</v>
      </c>
      <c r="U143" s="19">
        <v>3544660</v>
      </c>
      <c r="V143" s="19">
        <v>4830360</v>
      </c>
      <c r="W143" s="19">
        <v>3638140</v>
      </c>
      <c r="X143" s="19"/>
      <c r="Y143" s="19">
        <v>1030000</v>
      </c>
      <c r="Z143" s="19">
        <v>2646730</v>
      </c>
      <c r="AA143" s="19"/>
      <c r="AB143" s="19">
        <v>1945020</v>
      </c>
      <c r="AC143" s="19">
        <v>3269680</v>
      </c>
      <c r="AD143" s="19">
        <v>2984171</v>
      </c>
      <c r="AE143" s="19">
        <v>4784600</v>
      </c>
      <c r="AF143" s="19">
        <v>5870000</v>
      </c>
      <c r="AG143" s="19">
        <v>6305365</v>
      </c>
      <c r="AH143" s="19">
        <v>9752595</v>
      </c>
      <c r="AI143" s="17">
        <v>6949430</v>
      </c>
      <c r="AJ143" s="17">
        <v>9891111</v>
      </c>
      <c r="AK143" s="17">
        <v>6860000</v>
      </c>
      <c r="AL143" s="17">
        <v>10259980</v>
      </c>
      <c r="AM143" s="17">
        <v>8536560</v>
      </c>
      <c r="AN143" s="17">
        <v>5161980</v>
      </c>
      <c r="AO143" s="17">
        <v>5664000</v>
      </c>
      <c r="AP143" s="17"/>
      <c r="AQ143" s="17"/>
      <c r="AR143" s="17">
        <v>11000000</v>
      </c>
      <c r="AS143" s="17"/>
      <c r="AT143" s="17">
        <v>9722130</v>
      </c>
    </row>
    <row r="144" spans="1:46" x14ac:dyDescent="0.25">
      <c r="A144" s="88" t="s">
        <v>758</v>
      </c>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7"/>
      <c r="AJ144" s="17"/>
      <c r="AK144" s="17"/>
      <c r="AL144" s="17"/>
      <c r="AM144" s="17"/>
      <c r="AN144" s="17"/>
      <c r="AO144" s="17"/>
      <c r="AP144" s="17"/>
      <c r="AQ144" s="17"/>
      <c r="AR144" s="17"/>
      <c r="AS144" s="17"/>
      <c r="AT144" s="17">
        <v>800000</v>
      </c>
    </row>
    <row r="145" spans="1:46" x14ac:dyDescent="0.25">
      <c r="A145" s="88" t="s">
        <v>1049</v>
      </c>
      <c r="B145" s="19"/>
      <c r="C145" s="19"/>
      <c r="D145" s="19"/>
      <c r="E145" s="19"/>
      <c r="F145" s="19"/>
      <c r="G145" s="19"/>
      <c r="H145" s="19"/>
      <c r="I145" s="19"/>
      <c r="J145" s="19"/>
      <c r="K145" s="19">
        <v>533190</v>
      </c>
      <c r="L145" s="19">
        <v>1107420</v>
      </c>
      <c r="M145" s="19"/>
      <c r="N145" s="19"/>
      <c r="O145" s="19"/>
      <c r="P145" s="19"/>
      <c r="Q145" s="19"/>
      <c r="R145" s="19"/>
      <c r="S145" s="19"/>
      <c r="T145" s="19"/>
      <c r="U145" s="19"/>
      <c r="V145" s="19"/>
      <c r="W145" s="19"/>
      <c r="X145" s="19"/>
      <c r="Y145" s="19"/>
      <c r="Z145" s="19"/>
      <c r="AA145" s="19"/>
      <c r="AB145" s="19"/>
      <c r="AC145" s="19"/>
      <c r="AD145" s="19"/>
      <c r="AE145" s="19"/>
      <c r="AF145" s="19"/>
      <c r="AG145" s="19"/>
      <c r="AH145" s="19"/>
      <c r="AI145" s="17"/>
      <c r="AJ145" s="17"/>
      <c r="AK145" s="17"/>
      <c r="AL145" s="17"/>
      <c r="AM145" s="17"/>
      <c r="AN145" s="17"/>
      <c r="AO145" s="17"/>
      <c r="AP145" s="17"/>
      <c r="AQ145" s="17"/>
      <c r="AR145" s="17"/>
      <c r="AS145" s="17"/>
      <c r="AT145" s="17"/>
    </row>
    <row r="146" spans="1:46" x14ac:dyDescent="0.25">
      <c r="A146" s="88" t="s">
        <v>756</v>
      </c>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v>2300000</v>
      </c>
      <c r="Z146" s="19"/>
      <c r="AA146" s="19"/>
      <c r="AB146" s="19"/>
      <c r="AC146" s="19"/>
      <c r="AD146" s="19"/>
      <c r="AE146" s="19"/>
      <c r="AF146" s="19"/>
      <c r="AG146" s="19"/>
      <c r="AH146" s="19"/>
      <c r="AI146" s="17"/>
      <c r="AJ146" s="17"/>
      <c r="AK146" s="17"/>
      <c r="AL146" s="17"/>
      <c r="AM146" s="17"/>
      <c r="AN146" s="17"/>
      <c r="AO146" s="17"/>
      <c r="AP146" s="17"/>
      <c r="AQ146" s="17"/>
      <c r="AR146" s="17"/>
      <c r="AS146" s="17"/>
      <c r="AT146" s="17"/>
    </row>
    <row r="147" spans="1:46" x14ac:dyDescent="0.25">
      <c r="A147" s="88"/>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7"/>
      <c r="AJ147" s="17"/>
      <c r="AK147" s="17"/>
      <c r="AL147" s="17"/>
      <c r="AM147" s="17"/>
      <c r="AN147" s="17"/>
      <c r="AO147" s="17"/>
      <c r="AP147" s="17"/>
      <c r="AQ147" s="17"/>
      <c r="AR147" s="17"/>
      <c r="AS147" s="17"/>
      <c r="AT147" s="17"/>
    </row>
    <row r="148" spans="1:46" x14ac:dyDescent="0.25">
      <c r="A148" s="88" t="s">
        <v>154</v>
      </c>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7"/>
      <c r="AJ148" s="17"/>
      <c r="AK148" s="17"/>
      <c r="AL148" s="17"/>
      <c r="AM148" s="17"/>
      <c r="AN148" s="17"/>
      <c r="AO148" s="17"/>
      <c r="AP148" s="17"/>
      <c r="AQ148" s="17"/>
      <c r="AR148" s="17"/>
      <c r="AS148" s="17"/>
      <c r="AT148" s="17"/>
    </row>
    <row r="149" spans="1:46" x14ac:dyDescent="0.25">
      <c r="A149" s="88" t="s">
        <v>176</v>
      </c>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v>19600</v>
      </c>
      <c r="AF149" s="19">
        <v>100000</v>
      </c>
      <c r="AG149" s="19"/>
      <c r="AH149" s="19"/>
      <c r="AI149" s="17"/>
      <c r="AJ149" s="17"/>
      <c r="AK149" s="17"/>
      <c r="AL149" s="17"/>
      <c r="AM149" s="17"/>
      <c r="AN149" s="17"/>
      <c r="AO149" s="17"/>
      <c r="AP149" s="17"/>
      <c r="AQ149" s="17"/>
      <c r="AR149" s="17"/>
      <c r="AS149" s="17"/>
      <c r="AT149" s="17"/>
    </row>
    <row r="150" spans="1:46" x14ac:dyDescent="0.25">
      <c r="A150" s="88"/>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c r="AA150" s="19"/>
      <c r="AB150" s="19"/>
      <c r="AC150" s="19"/>
      <c r="AD150" s="19"/>
      <c r="AE150" s="19"/>
      <c r="AF150" s="19"/>
      <c r="AG150" s="19"/>
      <c r="AH150" s="19"/>
      <c r="AI150" s="17"/>
      <c r="AJ150" s="17"/>
      <c r="AK150" s="17"/>
      <c r="AL150" s="17"/>
      <c r="AM150" s="17"/>
      <c r="AN150" s="17"/>
      <c r="AO150" s="17"/>
      <c r="AP150" s="17"/>
      <c r="AQ150" s="17"/>
      <c r="AR150" s="17"/>
      <c r="AS150" s="17"/>
      <c r="AT150" s="17"/>
    </row>
    <row r="151" spans="1:46" x14ac:dyDescent="0.25">
      <c r="A151" s="88" t="s">
        <v>801</v>
      </c>
      <c r="B151" s="19"/>
      <c r="C151" s="19"/>
      <c r="D151" s="19"/>
      <c r="E151" s="19"/>
      <c r="F151" s="19"/>
      <c r="G151" s="19"/>
      <c r="H151" s="19"/>
      <c r="I151" s="19"/>
      <c r="J151" s="19"/>
      <c r="K151" s="19"/>
      <c r="L151" s="19"/>
      <c r="M151" s="19"/>
      <c r="N151" s="19"/>
      <c r="O151" s="19">
        <v>30000</v>
      </c>
      <c r="P151" s="19"/>
      <c r="Q151" s="19"/>
      <c r="R151" s="19"/>
      <c r="S151" s="19"/>
      <c r="T151" s="19"/>
      <c r="U151" s="19"/>
      <c r="V151" s="19"/>
      <c r="W151" s="19"/>
      <c r="X151" s="19"/>
      <c r="Y151" s="19"/>
      <c r="Z151" s="19"/>
      <c r="AA151" s="19"/>
      <c r="AB151" s="19"/>
      <c r="AC151" s="19"/>
      <c r="AD151" s="19"/>
      <c r="AE151" s="19"/>
      <c r="AF151" s="19"/>
      <c r="AG151" s="19"/>
      <c r="AH151" s="19"/>
      <c r="AI151" s="17"/>
      <c r="AJ151" s="17"/>
      <c r="AK151" s="17"/>
      <c r="AL151" s="17"/>
      <c r="AM151" s="17"/>
      <c r="AN151" s="17"/>
      <c r="AO151" s="17"/>
      <c r="AP151" s="17"/>
      <c r="AQ151" s="17"/>
      <c r="AR151" s="17"/>
      <c r="AS151" s="17"/>
      <c r="AT151" s="17"/>
    </row>
    <row r="152" spans="1:46" ht="30" x14ac:dyDescent="0.25">
      <c r="A152" s="88" t="s">
        <v>1054</v>
      </c>
      <c r="B152" s="19"/>
      <c r="C152" s="19"/>
      <c r="D152" s="19"/>
      <c r="E152" s="19"/>
      <c r="F152" s="19"/>
      <c r="G152" s="19"/>
      <c r="H152" s="19"/>
      <c r="I152" s="19"/>
      <c r="J152" s="19"/>
      <c r="K152" s="19"/>
      <c r="L152" s="19"/>
      <c r="M152" s="19"/>
      <c r="N152" s="19">
        <v>125430</v>
      </c>
      <c r="O152" s="19"/>
      <c r="P152" s="19"/>
      <c r="Q152" s="19"/>
      <c r="R152" s="19"/>
      <c r="S152" s="19"/>
      <c r="T152" s="19"/>
      <c r="U152" s="19"/>
      <c r="V152" s="19"/>
      <c r="W152" s="19"/>
      <c r="X152" s="19"/>
      <c r="Y152" s="19"/>
      <c r="Z152" s="19"/>
      <c r="AA152" s="19"/>
      <c r="AB152" s="19"/>
      <c r="AC152" s="19"/>
      <c r="AD152" s="19"/>
      <c r="AE152" s="19"/>
      <c r="AF152" s="19"/>
      <c r="AG152" s="19"/>
      <c r="AH152" s="19"/>
      <c r="AI152" s="17"/>
      <c r="AJ152" s="17"/>
      <c r="AK152" s="17"/>
      <c r="AL152" s="17"/>
      <c r="AM152" s="17"/>
      <c r="AN152" s="17"/>
      <c r="AO152" s="17"/>
      <c r="AP152" s="17"/>
      <c r="AQ152" s="17"/>
      <c r="AR152" s="17"/>
      <c r="AS152" s="17"/>
      <c r="AT152" s="17"/>
    </row>
    <row r="153" spans="1:46" x14ac:dyDescent="0.25">
      <c r="A153" s="88" t="s">
        <v>1053</v>
      </c>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c r="AA153" s="19"/>
      <c r="AB153" s="19"/>
      <c r="AC153" s="19"/>
      <c r="AD153" s="19">
        <v>60860</v>
      </c>
      <c r="AE153" s="19"/>
      <c r="AF153" s="19"/>
      <c r="AG153" s="19"/>
      <c r="AH153" s="19"/>
      <c r="AI153" s="17"/>
      <c r="AJ153" s="17">
        <v>310770</v>
      </c>
      <c r="AK153" s="17"/>
      <c r="AL153" s="17"/>
      <c r="AM153" s="17"/>
      <c r="AN153" s="17"/>
      <c r="AO153" s="17"/>
      <c r="AP153" s="17"/>
      <c r="AQ153" s="17"/>
      <c r="AR153" s="17"/>
      <c r="AS153" s="17"/>
      <c r="AT153" s="17"/>
    </row>
    <row r="154" spans="1:46" x14ac:dyDescent="0.25">
      <c r="A154" s="88" t="s">
        <v>800</v>
      </c>
      <c r="B154" s="19">
        <v>100000</v>
      </c>
      <c r="C154" s="19"/>
      <c r="D154" s="19"/>
      <c r="E154" s="19"/>
      <c r="F154" s="19">
        <f>40496+42275+141170+61780</f>
        <v>285721</v>
      </c>
      <c r="G154" s="19">
        <f>323262+89579</f>
        <v>412841</v>
      </c>
      <c r="H154" s="19">
        <f>110940+19460</f>
        <v>130400</v>
      </c>
      <c r="I154" s="30">
        <v>173460</v>
      </c>
      <c r="J154" s="19">
        <f>190000+280000</f>
        <v>470000</v>
      </c>
      <c r="K154" s="19">
        <f>87630+405221</f>
        <v>492851</v>
      </c>
      <c r="L154" s="19">
        <v>399323</v>
      </c>
      <c r="M154" s="19">
        <v>272739</v>
      </c>
      <c r="N154" s="19">
        <v>400001</v>
      </c>
      <c r="O154" s="19">
        <v>800860</v>
      </c>
      <c r="P154" s="19">
        <v>800000</v>
      </c>
      <c r="Q154" s="19">
        <v>665990</v>
      </c>
      <c r="R154" s="19">
        <v>750250</v>
      </c>
      <c r="S154" s="30">
        <f>324081</f>
        <v>324081</v>
      </c>
      <c r="T154" s="19">
        <f>644468</f>
        <v>644468</v>
      </c>
      <c r="U154" s="19">
        <f>759246+401980</f>
        <v>1161226</v>
      </c>
      <c r="V154" s="19">
        <v>750121</v>
      </c>
      <c r="W154" s="19">
        <v>63020</v>
      </c>
      <c r="X154" s="19"/>
      <c r="Y154" s="19">
        <v>378850</v>
      </c>
      <c r="Z154" s="19">
        <v>23550</v>
      </c>
      <c r="AA154" s="19"/>
      <c r="AB154" s="19">
        <f>347060+109100</f>
        <v>456160</v>
      </c>
      <c r="AC154" s="19">
        <v>250000</v>
      </c>
      <c r="AD154" s="19">
        <v>368450</v>
      </c>
      <c r="AE154" s="19">
        <v>386885</v>
      </c>
      <c r="AF154" s="19">
        <v>600000</v>
      </c>
      <c r="AG154" s="19">
        <v>290000</v>
      </c>
      <c r="AH154" s="19">
        <v>693533</v>
      </c>
      <c r="AI154" s="17">
        <v>592900</v>
      </c>
      <c r="AJ154" s="17">
        <v>699700</v>
      </c>
      <c r="AK154" s="17">
        <v>1500000</v>
      </c>
      <c r="AL154" s="17">
        <v>1340628</v>
      </c>
      <c r="AM154" s="17"/>
      <c r="AN154" s="17">
        <v>1073470</v>
      </c>
      <c r="AO154" s="17">
        <v>1500000</v>
      </c>
      <c r="AP154" s="17"/>
      <c r="AQ154" s="17"/>
      <c r="AR154" s="17">
        <v>1200000</v>
      </c>
      <c r="AS154" s="17"/>
      <c r="AT154" s="17">
        <v>3000000</v>
      </c>
    </row>
    <row r="155" spans="1:46" x14ac:dyDescent="0.25">
      <c r="A155" s="88" t="s">
        <v>1050</v>
      </c>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c r="AA155" s="19"/>
      <c r="AB155" s="19"/>
      <c r="AC155" s="19">
        <v>400000</v>
      </c>
      <c r="AD155" s="19"/>
      <c r="AE155" s="19">
        <v>570720</v>
      </c>
      <c r="AF155" s="19">
        <v>500000</v>
      </c>
      <c r="AG155" s="19">
        <v>500000</v>
      </c>
      <c r="AH155" s="19">
        <v>345000</v>
      </c>
      <c r="AI155" s="17">
        <v>303360</v>
      </c>
      <c r="AJ155" s="17">
        <v>321660</v>
      </c>
      <c r="AK155" s="17">
        <v>350000</v>
      </c>
      <c r="AL155" s="17">
        <v>475800</v>
      </c>
      <c r="AM155" s="17">
        <v>375020</v>
      </c>
      <c r="AN155" s="17">
        <v>366800</v>
      </c>
      <c r="AO155" s="17">
        <v>400000</v>
      </c>
      <c r="AP155" s="17"/>
      <c r="AQ155" s="17"/>
      <c r="AR155" s="17">
        <v>300000</v>
      </c>
      <c r="AS155" s="17"/>
      <c r="AT155" s="17">
        <v>300000</v>
      </c>
    </row>
    <row r="156" spans="1:46" x14ac:dyDescent="0.25">
      <c r="A156" s="75" t="s">
        <v>482</v>
      </c>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c r="AA156" s="19"/>
      <c r="AB156" s="19"/>
      <c r="AC156" s="19"/>
      <c r="AD156" s="19"/>
      <c r="AE156" s="19"/>
      <c r="AF156" s="19"/>
      <c r="AG156" s="19"/>
      <c r="AH156" s="19"/>
      <c r="AI156" s="17"/>
      <c r="AJ156" s="17"/>
      <c r="AK156" s="17"/>
      <c r="AL156" s="17"/>
      <c r="AM156" s="17"/>
      <c r="AN156" s="17"/>
      <c r="AO156" s="17"/>
      <c r="AP156" s="17"/>
      <c r="AQ156" s="17"/>
      <c r="AR156" s="17"/>
      <c r="AS156" s="17"/>
      <c r="AT156" s="17"/>
    </row>
    <row r="157" spans="1:46" x14ac:dyDescent="0.25">
      <c r="A157" s="88" t="s">
        <v>799</v>
      </c>
      <c r="B157" s="19">
        <v>20000</v>
      </c>
      <c r="C157" s="19">
        <v>25000</v>
      </c>
      <c r="D157" s="19"/>
      <c r="E157" s="19"/>
      <c r="F157" s="19">
        <v>47940</v>
      </c>
      <c r="G157" s="19">
        <v>20750</v>
      </c>
      <c r="H157" s="19"/>
      <c r="I157" s="30">
        <v>56350</v>
      </c>
      <c r="J157" s="19">
        <v>50000</v>
      </c>
      <c r="K157" s="19">
        <v>67030</v>
      </c>
      <c r="L157" s="19">
        <v>137240</v>
      </c>
      <c r="M157" s="19">
        <v>168140</v>
      </c>
      <c r="N157" s="19">
        <v>150000</v>
      </c>
      <c r="O157" s="19">
        <v>200000</v>
      </c>
      <c r="P157" s="19">
        <v>300000</v>
      </c>
      <c r="Q157" s="19">
        <v>200000</v>
      </c>
      <c r="R157" s="19">
        <v>300000</v>
      </c>
      <c r="S157" s="30">
        <v>254800</v>
      </c>
      <c r="T157" s="19">
        <v>300000</v>
      </c>
      <c r="U157" s="19">
        <v>495660</v>
      </c>
      <c r="V157" s="19">
        <v>300000</v>
      </c>
      <c r="W157" s="19">
        <v>305600</v>
      </c>
      <c r="X157" s="19"/>
      <c r="Y157" s="19">
        <v>350000</v>
      </c>
      <c r="Z157" s="19">
        <v>275240</v>
      </c>
      <c r="AA157" s="19"/>
      <c r="AB157" s="19"/>
      <c r="AC157" s="19"/>
      <c r="AD157" s="19">
        <v>467520</v>
      </c>
      <c r="AE157" s="19"/>
      <c r="AF157" s="19"/>
      <c r="AG157" s="19"/>
      <c r="AH157" s="19"/>
      <c r="AI157" s="17"/>
      <c r="AJ157" s="17"/>
      <c r="AK157" s="17"/>
      <c r="AL157" s="17"/>
      <c r="AM157" s="17"/>
      <c r="AN157" s="17"/>
      <c r="AO157" s="17"/>
      <c r="AP157" s="17"/>
      <c r="AQ157" s="17"/>
      <c r="AR157" s="17"/>
      <c r="AS157" s="17"/>
      <c r="AT157" s="17"/>
    </row>
    <row r="158" spans="1:46" x14ac:dyDescent="0.25">
      <c r="A158" s="88" t="s">
        <v>1052</v>
      </c>
      <c r="B158" s="19"/>
      <c r="C158" s="19"/>
      <c r="D158" s="19"/>
      <c r="E158" s="19"/>
      <c r="F158" s="19"/>
      <c r="G158" s="19"/>
      <c r="H158" s="19"/>
      <c r="I158" s="19"/>
      <c r="J158" s="19"/>
      <c r="K158" s="19"/>
      <c r="L158" s="19"/>
      <c r="M158" s="19">
        <v>103320</v>
      </c>
      <c r="N158" s="19"/>
      <c r="O158" s="19"/>
      <c r="P158" s="19"/>
      <c r="Q158" s="19"/>
      <c r="R158" s="19"/>
      <c r="S158" s="19"/>
      <c r="T158" s="19">
        <v>100000</v>
      </c>
      <c r="U158" s="19"/>
      <c r="V158" s="19"/>
      <c r="W158" s="19"/>
      <c r="X158" s="19"/>
      <c r="Y158" s="19"/>
      <c r="Z158" s="19"/>
      <c r="AA158" s="19"/>
      <c r="AB158" s="19"/>
      <c r="AC158" s="19">
        <v>116990</v>
      </c>
      <c r="AD158" s="19"/>
      <c r="AE158" s="19"/>
      <c r="AF158" s="19"/>
      <c r="AG158" s="19"/>
      <c r="AH158" s="19"/>
      <c r="AI158" s="17"/>
      <c r="AJ158" s="17"/>
      <c r="AK158" s="17"/>
      <c r="AL158" s="17"/>
      <c r="AM158" s="17"/>
      <c r="AN158" s="17"/>
      <c r="AO158" s="17"/>
      <c r="AP158" s="17"/>
      <c r="AQ158" s="17"/>
      <c r="AR158" s="17"/>
      <c r="AS158" s="17"/>
      <c r="AT158" s="17"/>
    </row>
    <row r="159" spans="1:46" x14ac:dyDescent="0.25">
      <c r="A159" s="88" t="s">
        <v>798</v>
      </c>
      <c r="B159" s="19"/>
      <c r="C159" s="19"/>
      <c r="D159" s="19"/>
      <c r="E159" s="19"/>
      <c r="F159" s="19">
        <v>48560</v>
      </c>
      <c r="G159" s="19">
        <v>71740</v>
      </c>
      <c r="H159" s="19">
        <f>16000+89800</f>
        <v>105800</v>
      </c>
      <c r="I159" s="19"/>
      <c r="J159" s="19"/>
      <c r="K159" s="19"/>
      <c r="L159" s="19"/>
      <c r="M159" s="19">
        <v>315220</v>
      </c>
      <c r="N159" s="19">
        <v>400000</v>
      </c>
      <c r="O159" s="19">
        <v>600000</v>
      </c>
      <c r="P159" s="19">
        <v>500000</v>
      </c>
      <c r="Q159" s="19"/>
      <c r="R159" s="19"/>
      <c r="S159" s="19"/>
      <c r="T159" s="19"/>
      <c r="U159" s="19"/>
      <c r="V159" s="19"/>
      <c r="W159" s="19"/>
      <c r="X159" s="19"/>
      <c r="Y159" s="19"/>
      <c r="Z159" s="19"/>
      <c r="AA159" s="19"/>
      <c r="AB159" s="19"/>
      <c r="AC159" s="19"/>
      <c r="AD159" s="19"/>
      <c r="AE159" s="19"/>
      <c r="AF159" s="19"/>
      <c r="AG159" s="19"/>
      <c r="AH159" s="19"/>
      <c r="AI159" s="17"/>
      <c r="AJ159" s="17"/>
      <c r="AK159" s="17"/>
      <c r="AL159" s="17"/>
      <c r="AM159" s="17"/>
      <c r="AN159" s="17"/>
      <c r="AO159" s="17"/>
      <c r="AP159" s="17"/>
      <c r="AQ159" s="17"/>
      <c r="AR159" s="17"/>
      <c r="AS159" s="17"/>
      <c r="AT159" s="17"/>
    </row>
    <row r="160" spans="1:46" x14ac:dyDescent="0.25">
      <c r="A160" s="75" t="s">
        <v>488</v>
      </c>
      <c r="B160" s="19"/>
      <c r="C160" s="19"/>
      <c r="D160" s="19"/>
      <c r="E160" s="19"/>
      <c r="F160" s="19"/>
      <c r="G160" s="19"/>
      <c r="H160" s="19"/>
      <c r="I160" s="30">
        <v>18800</v>
      </c>
      <c r="J160" s="19">
        <v>50000</v>
      </c>
      <c r="K160" s="19"/>
      <c r="L160" s="19"/>
      <c r="M160" s="19"/>
      <c r="N160" s="19"/>
      <c r="O160" s="19"/>
      <c r="P160" s="19"/>
      <c r="Q160" s="19">
        <v>275480</v>
      </c>
      <c r="R160" s="19"/>
      <c r="S160" s="30">
        <v>130400</v>
      </c>
      <c r="T160" s="19"/>
      <c r="U160" s="19"/>
      <c r="V160" s="19"/>
      <c r="W160" s="19"/>
      <c r="X160" s="19"/>
      <c r="Y160" s="19"/>
      <c r="Z160" s="19"/>
      <c r="AA160" s="19"/>
      <c r="AB160" s="19"/>
      <c r="AC160" s="19"/>
      <c r="AD160" s="19"/>
      <c r="AE160" s="19"/>
      <c r="AF160" s="19"/>
      <c r="AG160" s="19"/>
      <c r="AH160" s="19"/>
      <c r="AI160" s="17"/>
      <c r="AJ160" s="17"/>
      <c r="AK160" s="17"/>
      <c r="AL160" s="17"/>
      <c r="AM160" s="17"/>
      <c r="AN160" s="17"/>
      <c r="AO160" s="17">
        <v>500000</v>
      </c>
      <c r="AP160" s="17"/>
      <c r="AQ160" s="17"/>
      <c r="AR160" s="17"/>
      <c r="AS160" s="17"/>
      <c r="AT160" s="17"/>
    </row>
    <row r="161" spans="1:46" x14ac:dyDescent="0.25">
      <c r="A161" s="88"/>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7"/>
      <c r="AJ161" s="17"/>
      <c r="AK161" s="17"/>
      <c r="AL161" s="17"/>
      <c r="AM161" s="17"/>
      <c r="AN161" s="17"/>
      <c r="AO161" s="17"/>
      <c r="AP161" s="17"/>
      <c r="AQ161" s="17"/>
      <c r="AR161" s="17"/>
      <c r="AS161" s="17"/>
      <c r="AT161" s="17"/>
    </row>
    <row r="162" spans="1:46" x14ac:dyDescent="0.25">
      <c r="A162" s="88" t="s">
        <v>954</v>
      </c>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v>2371879</v>
      </c>
      <c r="AH162" s="19">
        <v>2077310</v>
      </c>
      <c r="AI162" s="17">
        <v>2012000</v>
      </c>
      <c r="AJ162" s="17">
        <v>1942140</v>
      </c>
      <c r="AK162" s="17">
        <v>2000000</v>
      </c>
      <c r="AL162" s="17">
        <v>1440000</v>
      </c>
      <c r="AM162" s="17">
        <v>1434800</v>
      </c>
      <c r="AN162" s="17">
        <v>1611500</v>
      </c>
      <c r="AO162" s="17">
        <v>1500000</v>
      </c>
      <c r="AP162" s="17"/>
      <c r="AQ162" s="17"/>
      <c r="AR162" s="17">
        <v>1600000</v>
      </c>
      <c r="AS162" s="17"/>
      <c r="AT162" s="17">
        <f>1440000</f>
        <v>1440000</v>
      </c>
    </row>
    <row r="163" spans="1:46" x14ac:dyDescent="0.25">
      <c r="A163" s="88" t="s">
        <v>163</v>
      </c>
      <c r="B163" s="19"/>
      <c r="C163" s="19"/>
      <c r="D163" s="19"/>
      <c r="E163" s="19"/>
      <c r="F163" s="19"/>
      <c r="G163" s="19">
        <v>350000</v>
      </c>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7"/>
      <c r="AJ163" s="17"/>
      <c r="AK163" s="17"/>
      <c r="AL163" s="17"/>
      <c r="AM163" s="17"/>
      <c r="AN163" s="17"/>
      <c r="AO163" s="17"/>
      <c r="AP163" s="17"/>
      <c r="AQ163" s="17"/>
      <c r="AR163" s="17"/>
      <c r="AS163" s="17"/>
      <c r="AT163" s="17"/>
    </row>
    <row r="164" spans="1:46" x14ac:dyDescent="0.25">
      <c r="A164" s="88" t="s">
        <v>803</v>
      </c>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v>100000</v>
      </c>
      <c r="AD164" s="19">
        <v>34120</v>
      </c>
      <c r="AE164" s="19"/>
      <c r="AF164" s="19"/>
      <c r="AG164" s="19"/>
      <c r="AH164" s="19"/>
      <c r="AI164" s="17"/>
      <c r="AJ164" s="17"/>
      <c r="AK164" s="17"/>
      <c r="AL164" s="17"/>
      <c r="AM164" s="17"/>
      <c r="AN164" s="17"/>
      <c r="AO164" s="17"/>
      <c r="AP164" s="17"/>
      <c r="AQ164" s="17"/>
      <c r="AR164" s="17"/>
      <c r="AS164" s="17"/>
      <c r="AT164" s="17"/>
    </row>
    <row r="165" spans="1:46" x14ac:dyDescent="0.25">
      <c r="A165" s="88" t="s">
        <v>802</v>
      </c>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7"/>
      <c r="AJ165" s="17"/>
      <c r="AK165" s="17"/>
      <c r="AL165" s="17"/>
      <c r="AM165" s="17">
        <v>1590000</v>
      </c>
      <c r="AN165" s="17"/>
      <c r="AO165" s="17"/>
      <c r="AP165" s="17"/>
      <c r="AQ165" s="17"/>
      <c r="AR165" s="17"/>
      <c r="AS165" s="17"/>
      <c r="AT165" s="17">
        <v>360000</v>
      </c>
    </row>
    <row r="166" spans="1:46" x14ac:dyDescent="0.25">
      <c r="A166" s="88"/>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7"/>
      <c r="AJ166" s="17"/>
      <c r="AK166" s="17"/>
      <c r="AL166" s="17"/>
      <c r="AM166" s="17"/>
      <c r="AN166" s="17"/>
      <c r="AO166" s="17"/>
      <c r="AP166" s="17"/>
      <c r="AQ166" s="17"/>
      <c r="AR166" s="17"/>
      <c r="AS166" s="17"/>
      <c r="AT166" s="17"/>
    </row>
    <row r="167" spans="1:46" ht="30" x14ac:dyDescent="0.25">
      <c r="A167" s="88" t="s">
        <v>891</v>
      </c>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7"/>
      <c r="AJ167" s="17"/>
      <c r="AK167" s="17"/>
      <c r="AL167" s="17">
        <v>79200</v>
      </c>
      <c r="AM167" s="17"/>
      <c r="AN167" s="17"/>
      <c r="AO167" s="17"/>
      <c r="AP167" s="17"/>
      <c r="AQ167" s="17"/>
      <c r="AR167" s="17"/>
      <c r="AS167" s="17"/>
      <c r="AT167" s="17"/>
    </row>
    <row r="168" spans="1:46" x14ac:dyDescent="0.25">
      <c r="A168" s="88" t="s">
        <v>889</v>
      </c>
      <c r="B168" s="19"/>
      <c r="C168" s="19"/>
      <c r="D168" s="19"/>
      <c r="E168" s="19"/>
      <c r="F168" s="19"/>
      <c r="G168" s="19"/>
      <c r="H168" s="19"/>
      <c r="I168" s="19"/>
      <c r="J168" s="19"/>
      <c r="K168" s="19"/>
      <c r="L168" s="19">
        <v>166450</v>
      </c>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7"/>
      <c r="AJ168" s="17"/>
      <c r="AK168" s="17"/>
      <c r="AL168" s="17"/>
      <c r="AM168" s="17"/>
      <c r="AN168" s="17"/>
      <c r="AO168" s="17"/>
      <c r="AP168" s="17"/>
      <c r="AQ168" s="17"/>
      <c r="AR168" s="17"/>
      <c r="AS168" s="17"/>
      <c r="AT168" s="17"/>
    </row>
    <row r="169" spans="1:46" x14ac:dyDescent="0.25">
      <c r="A169" s="88" t="s">
        <v>888</v>
      </c>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7"/>
      <c r="AJ169" s="17"/>
      <c r="AK169" s="17"/>
      <c r="AL169" s="17"/>
      <c r="AM169" s="17"/>
      <c r="AN169" s="17"/>
      <c r="AO169" s="17">
        <v>1770000</v>
      </c>
      <c r="AP169" s="17"/>
      <c r="AQ169" s="17"/>
      <c r="AR169" s="17"/>
      <c r="AS169" s="17"/>
      <c r="AT169" s="17"/>
    </row>
    <row r="170" spans="1:46" x14ac:dyDescent="0.25">
      <c r="A170" s="75" t="s">
        <v>882</v>
      </c>
      <c r="B170" s="19"/>
      <c r="C170" s="19"/>
      <c r="D170" s="19"/>
      <c r="E170" s="19"/>
      <c r="F170" s="19">
        <v>21350</v>
      </c>
      <c r="G170" s="19">
        <f>52300+12000</f>
        <v>64300</v>
      </c>
      <c r="H170" s="19">
        <v>72923</v>
      </c>
      <c r="I170" s="19">
        <v>55760</v>
      </c>
      <c r="J170" s="19">
        <v>100000</v>
      </c>
      <c r="K170" s="19">
        <v>47260</v>
      </c>
      <c r="L170" s="19"/>
      <c r="M170" s="19">
        <v>90040</v>
      </c>
      <c r="N170" s="19">
        <v>140000</v>
      </c>
      <c r="O170" s="19">
        <v>150000</v>
      </c>
      <c r="P170" s="19">
        <v>300000</v>
      </c>
      <c r="Q170" s="19">
        <v>150000</v>
      </c>
      <c r="R170" s="19">
        <v>200000</v>
      </c>
      <c r="S170" s="30">
        <v>55960</v>
      </c>
      <c r="T170" s="19"/>
      <c r="U170" s="19">
        <v>35820</v>
      </c>
      <c r="V170" s="19">
        <v>100000</v>
      </c>
      <c r="W170" s="19"/>
      <c r="X170" s="19"/>
      <c r="Y170" s="19"/>
      <c r="Z170" s="19"/>
      <c r="AA170" s="19"/>
      <c r="AB170" s="19"/>
      <c r="AC170" s="19">
        <v>430000</v>
      </c>
      <c r="AD170" s="19"/>
      <c r="AE170" s="19"/>
      <c r="AF170" s="19"/>
      <c r="AG170" s="19"/>
      <c r="AH170" s="19"/>
      <c r="AI170" s="17">
        <v>349490</v>
      </c>
      <c r="AJ170" s="17"/>
      <c r="AK170" s="17">
        <v>400000</v>
      </c>
      <c r="AL170" s="17">
        <v>268630</v>
      </c>
      <c r="AM170" s="17">
        <v>414920</v>
      </c>
      <c r="AN170" s="17">
        <v>566320</v>
      </c>
      <c r="AO170" s="17">
        <v>406000</v>
      </c>
      <c r="AP170" s="17"/>
      <c r="AQ170" s="17"/>
      <c r="AR170" s="17">
        <v>500000</v>
      </c>
      <c r="AS170" s="17"/>
      <c r="AT170" s="17">
        <v>500000</v>
      </c>
    </row>
    <row r="171" spans="1:46" ht="30" x14ac:dyDescent="0.25">
      <c r="A171" s="88" t="s">
        <v>890</v>
      </c>
      <c r="B171" s="19"/>
      <c r="C171" s="19"/>
      <c r="D171" s="19"/>
      <c r="E171" s="19"/>
      <c r="F171" s="19"/>
      <c r="G171" s="19"/>
      <c r="H171" s="19"/>
      <c r="I171" s="19"/>
      <c r="J171" s="19"/>
      <c r="K171" s="19"/>
      <c r="L171" s="19"/>
      <c r="M171" s="19"/>
      <c r="N171" s="19"/>
      <c r="O171" s="19"/>
      <c r="P171" s="19"/>
      <c r="Q171" s="19"/>
      <c r="R171" s="19"/>
      <c r="S171" s="19"/>
      <c r="T171" s="19"/>
      <c r="U171" s="19"/>
      <c r="V171" s="19"/>
      <c r="W171" s="19">
        <v>90600</v>
      </c>
      <c r="X171" s="19"/>
      <c r="Y171" s="19">
        <v>200000</v>
      </c>
      <c r="Z171" s="19">
        <v>228180</v>
      </c>
      <c r="AA171" s="19"/>
      <c r="AB171" s="19">
        <v>26700</v>
      </c>
      <c r="AC171" s="19"/>
      <c r="AD171" s="19"/>
      <c r="AE171" s="19">
        <v>281080</v>
      </c>
      <c r="AF171" s="19">
        <v>500000</v>
      </c>
      <c r="AG171" s="19">
        <v>500000</v>
      </c>
      <c r="AH171" s="19">
        <v>824040</v>
      </c>
      <c r="AI171" s="17"/>
      <c r="AJ171" s="17"/>
      <c r="AK171" s="17"/>
      <c r="AL171" s="17"/>
      <c r="AM171" s="17"/>
      <c r="AN171" s="17"/>
      <c r="AO171" s="17"/>
      <c r="AP171" s="17"/>
      <c r="AQ171" s="17"/>
      <c r="AR171" s="17"/>
      <c r="AS171" s="17"/>
      <c r="AT171" s="17"/>
    </row>
    <row r="172" spans="1:46" x14ac:dyDescent="0.25">
      <c r="A172" s="75" t="s">
        <v>164</v>
      </c>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7"/>
      <c r="AJ172" s="17"/>
      <c r="AK172" s="17"/>
      <c r="AL172" s="17"/>
      <c r="AM172" s="17"/>
      <c r="AN172" s="17"/>
      <c r="AO172" s="17"/>
      <c r="AP172" s="17"/>
      <c r="AQ172" s="17"/>
      <c r="AR172" s="17"/>
      <c r="AS172" s="17"/>
      <c r="AT172" s="17"/>
    </row>
    <row r="173" spans="1:46" x14ac:dyDescent="0.25">
      <c r="A173" s="88" t="s">
        <v>804</v>
      </c>
      <c r="B173" s="19"/>
      <c r="C173" s="19"/>
      <c r="D173" s="19"/>
      <c r="E173" s="19"/>
      <c r="F173" s="19"/>
      <c r="G173" s="19">
        <v>23760</v>
      </c>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7"/>
      <c r="AJ173" s="17"/>
      <c r="AK173" s="17"/>
      <c r="AL173" s="17"/>
      <c r="AM173" s="17"/>
      <c r="AN173" s="17"/>
      <c r="AO173" s="17"/>
      <c r="AP173" s="17"/>
      <c r="AQ173" s="17"/>
      <c r="AR173" s="17"/>
      <c r="AS173" s="17"/>
      <c r="AT173" s="17"/>
    </row>
    <row r="174" spans="1:46" x14ac:dyDescent="0.25">
      <c r="A174" s="88" t="s">
        <v>955</v>
      </c>
      <c r="B174" s="19"/>
      <c r="C174" s="19"/>
      <c r="D174" s="19"/>
      <c r="E174" s="19"/>
      <c r="F174" s="19"/>
      <c r="G174" s="19">
        <v>52500</v>
      </c>
      <c r="H174" s="19"/>
      <c r="I174" s="30">
        <v>5200</v>
      </c>
      <c r="J174" s="19"/>
      <c r="K174" s="19">
        <f>4000+5040</f>
        <v>9040</v>
      </c>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7"/>
      <c r="AJ174" s="17"/>
      <c r="AK174" s="17"/>
      <c r="AL174" s="17"/>
      <c r="AM174" s="17"/>
      <c r="AN174" s="17"/>
      <c r="AO174" s="17"/>
      <c r="AP174" s="17"/>
      <c r="AQ174" s="17"/>
      <c r="AR174" s="17"/>
      <c r="AS174" s="17"/>
      <c r="AT174" s="17"/>
    </row>
    <row r="175" spans="1:46" x14ac:dyDescent="0.25">
      <c r="A175" s="88"/>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7"/>
      <c r="AJ175" s="17"/>
      <c r="AK175" s="17"/>
      <c r="AL175" s="17"/>
      <c r="AM175" s="17"/>
      <c r="AN175" s="17"/>
      <c r="AO175" s="17"/>
      <c r="AP175" s="17"/>
      <c r="AQ175" s="17"/>
      <c r="AR175" s="17"/>
      <c r="AS175" s="17"/>
      <c r="AT175" s="17"/>
    </row>
    <row r="176" spans="1:46" x14ac:dyDescent="0.25">
      <c r="A176" s="88" t="s">
        <v>1055</v>
      </c>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7"/>
      <c r="AJ176" s="17"/>
      <c r="AK176" s="17"/>
      <c r="AL176" s="17"/>
      <c r="AM176" s="17"/>
      <c r="AN176" s="17"/>
      <c r="AO176" s="17">
        <v>500000</v>
      </c>
      <c r="AP176" s="17"/>
      <c r="AQ176" s="17"/>
      <c r="AR176" s="17">
        <v>200000</v>
      </c>
      <c r="AS176" s="17"/>
      <c r="AT176" s="17"/>
    </row>
    <row r="177" spans="1:46" x14ac:dyDescent="0.25">
      <c r="A177" s="88"/>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7"/>
      <c r="AJ177" s="17"/>
      <c r="AK177" s="17"/>
      <c r="AL177" s="17"/>
      <c r="AM177" s="17"/>
      <c r="AN177" s="17"/>
      <c r="AO177" s="17"/>
      <c r="AP177" s="17"/>
      <c r="AQ177" s="17"/>
      <c r="AR177" s="17"/>
      <c r="AS177" s="17"/>
      <c r="AT177" s="17"/>
    </row>
    <row r="178" spans="1:46" x14ac:dyDescent="0.25">
      <c r="A178" s="88" t="s">
        <v>805</v>
      </c>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7"/>
      <c r="AJ178" s="17"/>
      <c r="AK178" s="17"/>
      <c r="AL178" s="17"/>
      <c r="AM178" s="17"/>
      <c r="AN178" s="17"/>
      <c r="AO178" s="17"/>
      <c r="AP178" s="17"/>
      <c r="AQ178" s="17"/>
      <c r="AR178" s="17"/>
      <c r="AS178" s="17"/>
      <c r="AT178" s="17"/>
    </row>
    <row r="179" spans="1:46" x14ac:dyDescent="0.25">
      <c r="A179" s="75" t="s">
        <v>504</v>
      </c>
      <c r="B179" s="19">
        <v>70000</v>
      </c>
      <c r="C179" s="19"/>
      <c r="D179" s="19"/>
      <c r="E179" s="19"/>
      <c r="F179" s="19">
        <v>8600</v>
      </c>
      <c r="G179" s="19"/>
      <c r="H179" s="19"/>
      <c r="I179" s="19"/>
      <c r="J179" s="19"/>
      <c r="K179" s="19"/>
      <c r="L179" s="19"/>
      <c r="M179" s="19"/>
      <c r="N179" s="19">
        <v>100000</v>
      </c>
      <c r="O179" s="19"/>
      <c r="P179" s="19"/>
      <c r="Q179" s="19"/>
      <c r="R179" s="19"/>
      <c r="S179" s="19"/>
      <c r="T179" s="19">
        <v>148420</v>
      </c>
      <c r="U179" s="19">
        <v>149020</v>
      </c>
      <c r="V179" s="19">
        <v>200000</v>
      </c>
      <c r="W179" s="19">
        <v>137500</v>
      </c>
      <c r="X179" s="19"/>
      <c r="Y179" s="19">
        <v>250000</v>
      </c>
      <c r="Z179" s="19">
        <v>30660</v>
      </c>
      <c r="AA179" s="19"/>
      <c r="AB179" s="19">
        <v>235600</v>
      </c>
      <c r="AC179" s="19">
        <v>315932</v>
      </c>
      <c r="AD179" s="19">
        <v>157092</v>
      </c>
      <c r="AE179" s="19">
        <v>79400</v>
      </c>
      <c r="AF179" s="19">
        <v>558714</v>
      </c>
      <c r="AG179" s="19">
        <v>264400</v>
      </c>
      <c r="AH179" s="19">
        <v>117400</v>
      </c>
      <c r="AI179" s="17">
        <v>37800</v>
      </c>
      <c r="AJ179" s="17">
        <v>71800</v>
      </c>
      <c r="AK179" s="17">
        <v>324800</v>
      </c>
      <c r="AL179" s="17">
        <v>253110</v>
      </c>
      <c r="AM179" s="17">
        <v>386380</v>
      </c>
      <c r="AN179" s="17">
        <v>138360</v>
      </c>
      <c r="AO179" s="17">
        <v>400000</v>
      </c>
      <c r="AP179" s="17"/>
      <c r="AQ179" s="17"/>
      <c r="AR179" s="17">
        <v>1569500</v>
      </c>
      <c r="AS179" s="17"/>
      <c r="AT179" s="17">
        <v>950000</v>
      </c>
    </row>
    <row r="180" spans="1:46" x14ac:dyDescent="0.25">
      <c r="A180" s="88" t="s">
        <v>956</v>
      </c>
      <c r="B180" s="19"/>
      <c r="C180" s="19"/>
      <c r="D180" s="19"/>
      <c r="E180" s="19"/>
      <c r="F180" s="19"/>
      <c r="G180" s="19"/>
      <c r="H180" s="19"/>
      <c r="I180" s="19"/>
      <c r="J180" s="19"/>
      <c r="K180" s="19"/>
      <c r="L180" s="19"/>
      <c r="M180" s="19"/>
      <c r="N180" s="19"/>
      <c r="O180" s="19"/>
      <c r="P180" s="19"/>
      <c r="Q180" s="19"/>
      <c r="R180" s="19"/>
      <c r="S180" s="19"/>
      <c r="T180" s="19"/>
      <c r="U180" s="19"/>
      <c r="V180" s="19"/>
      <c r="W180" s="19">
        <v>702000</v>
      </c>
      <c r="X180" s="19"/>
      <c r="Y180" s="19"/>
      <c r="Z180" s="19"/>
      <c r="AA180" s="19"/>
      <c r="AB180" s="19"/>
      <c r="AC180" s="19"/>
      <c r="AD180" s="19"/>
      <c r="AE180" s="19"/>
      <c r="AF180" s="19"/>
      <c r="AG180" s="19"/>
      <c r="AH180" s="19"/>
      <c r="AI180" s="17"/>
      <c r="AJ180" s="17"/>
      <c r="AK180" s="17"/>
      <c r="AL180" s="17"/>
      <c r="AM180" s="17"/>
      <c r="AN180" s="17"/>
      <c r="AO180" s="17"/>
      <c r="AP180" s="17"/>
      <c r="AQ180" s="17"/>
      <c r="AR180" s="17"/>
      <c r="AS180" s="17"/>
      <c r="AT180" s="17"/>
    </row>
    <row r="181" spans="1:46" x14ac:dyDescent="0.25">
      <c r="A181" s="88"/>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7"/>
      <c r="AJ181" s="17"/>
      <c r="AK181" s="17"/>
      <c r="AL181" s="17"/>
      <c r="AM181" s="17"/>
      <c r="AN181" s="17"/>
      <c r="AO181" s="17"/>
      <c r="AP181" s="17"/>
      <c r="AQ181" s="17"/>
      <c r="AR181" s="17"/>
      <c r="AS181" s="17"/>
      <c r="AT181" s="17"/>
    </row>
    <row r="182" spans="1:46" x14ac:dyDescent="0.25">
      <c r="A182" s="88" t="s">
        <v>892</v>
      </c>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v>3000000</v>
      </c>
      <c r="AI182" s="17">
        <v>861353</v>
      </c>
      <c r="AJ182" s="17">
        <v>72210</v>
      </c>
      <c r="AK182" s="17">
        <v>200000</v>
      </c>
      <c r="AL182" s="17"/>
      <c r="AM182" s="17"/>
      <c r="AN182" s="17">
        <v>1662920</v>
      </c>
      <c r="AO182" s="17"/>
      <c r="AP182" s="17"/>
      <c r="AQ182" s="17"/>
      <c r="AR182" s="17"/>
      <c r="AS182" s="17"/>
      <c r="AT182" s="17"/>
    </row>
    <row r="183" spans="1:46" x14ac:dyDescent="0.25">
      <c r="A183" s="88"/>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7"/>
      <c r="AJ183" s="17"/>
      <c r="AK183" s="17"/>
      <c r="AL183" s="17"/>
      <c r="AM183" s="17"/>
      <c r="AN183" s="17"/>
      <c r="AO183" s="17"/>
      <c r="AP183" s="17"/>
      <c r="AQ183" s="17"/>
      <c r="AR183" s="17"/>
      <c r="AS183" s="17"/>
      <c r="AT183" s="17"/>
    </row>
    <row r="184" spans="1:46" x14ac:dyDescent="0.25">
      <c r="A184" s="88"/>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7"/>
      <c r="AJ184" s="17"/>
      <c r="AK184" s="17"/>
      <c r="AL184" s="17"/>
      <c r="AM184" s="17"/>
      <c r="AN184" s="17"/>
      <c r="AO184" s="17"/>
      <c r="AP184" s="17"/>
      <c r="AQ184" s="17"/>
      <c r="AR184" s="17"/>
      <c r="AS184" s="17"/>
      <c r="AT184" s="17"/>
    </row>
    <row r="185" spans="1:46" x14ac:dyDescent="0.25">
      <c r="A185" s="89" t="s">
        <v>137</v>
      </c>
      <c r="B185" s="30">
        <f>SUM(B117:B184)</f>
        <v>464000</v>
      </c>
      <c r="C185" s="30">
        <f>SUM(C117:C184)</f>
        <v>697160</v>
      </c>
      <c r="D185" s="30"/>
      <c r="E185" s="30"/>
      <c r="F185" s="30">
        <f t="shared" ref="F185:Z185" si="3">SUM(F117:F184)</f>
        <v>1132108</v>
      </c>
      <c r="G185" s="30">
        <f t="shared" si="3"/>
        <v>1675624</v>
      </c>
      <c r="H185" s="30">
        <f t="shared" si="3"/>
        <v>1300892</v>
      </c>
      <c r="I185" s="30">
        <f t="shared" si="3"/>
        <v>1254410</v>
      </c>
      <c r="J185" s="30">
        <f t="shared" si="3"/>
        <v>2300000</v>
      </c>
      <c r="K185" s="30">
        <f t="shared" si="3"/>
        <v>1942707</v>
      </c>
      <c r="L185" s="30">
        <f t="shared" si="3"/>
        <v>3228760</v>
      </c>
      <c r="M185" s="30">
        <f t="shared" si="3"/>
        <v>2054623</v>
      </c>
      <c r="N185" s="30">
        <f t="shared" si="3"/>
        <v>3989857</v>
      </c>
      <c r="O185" s="30">
        <f t="shared" si="3"/>
        <v>5780000</v>
      </c>
      <c r="P185" s="30">
        <f t="shared" si="3"/>
        <v>4306000</v>
      </c>
      <c r="Q185" s="30">
        <f t="shared" si="3"/>
        <v>3974214</v>
      </c>
      <c r="R185" s="30">
        <f t="shared" si="3"/>
        <v>6139910</v>
      </c>
      <c r="S185" s="30">
        <f t="shared" si="3"/>
        <v>4549867</v>
      </c>
      <c r="T185" s="30">
        <f t="shared" si="3"/>
        <v>5763038</v>
      </c>
      <c r="U185" s="30">
        <f t="shared" si="3"/>
        <v>6462146</v>
      </c>
      <c r="V185" s="30">
        <f t="shared" si="3"/>
        <v>8260481</v>
      </c>
      <c r="W185" s="30">
        <f t="shared" si="3"/>
        <v>6350381</v>
      </c>
      <c r="X185" s="30">
        <f t="shared" si="3"/>
        <v>0</v>
      </c>
      <c r="Y185" s="30">
        <f t="shared" si="3"/>
        <v>6942810</v>
      </c>
      <c r="Z185" s="30">
        <f t="shared" si="3"/>
        <v>5106516</v>
      </c>
      <c r="AA185" s="30"/>
      <c r="AB185" s="30">
        <f t="shared" ref="AB185:AR185" si="4">SUM(AB117:AB184)</f>
        <v>3204360</v>
      </c>
      <c r="AC185" s="30">
        <f t="shared" si="4"/>
        <v>6813888</v>
      </c>
      <c r="AD185" s="30">
        <f t="shared" si="4"/>
        <v>5942351</v>
      </c>
      <c r="AE185" s="30">
        <f t="shared" si="4"/>
        <v>8983953</v>
      </c>
      <c r="AF185" s="30">
        <f t="shared" si="4"/>
        <v>13488714</v>
      </c>
      <c r="AG185" s="30">
        <f t="shared" si="4"/>
        <v>17394835</v>
      </c>
      <c r="AH185" s="28">
        <f t="shared" si="4"/>
        <v>25218166</v>
      </c>
      <c r="AI185" s="28">
        <f t="shared" si="4"/>
        <v>20878058</v>
      </c>
      <c r="AJ185" s="28">
        <f t="shared" si="4"/>
        <v>26176337</v>
      </c>
      <c r="AK185" s="28">
        <f t="shared" si="4"/>
        <v>23710000</v>
      </c>
      <c r="AL185" s="28">
        <f t="shared" si="4"/>
        <v>23912020</v>
      </c>
      <c r="AM185" s="28">
        <f t="shared" si="4"/>
        <v>23485500</v>
      </c>
      <c r="AN185" s="28">
        <f t="shared" si="4"/>
        <v>21519890</v>
      </c>
      <c r="AO185" s="28">
        <f t="shared" si="4"/>
        <v>25000000</v>
      </c>
      <c r="AP185" s="28">
        <f t="shared" si="4"/>
        <v>0</v>
      </c>
      <c r="AQ185" s="28">
        <f t="shared" si="4"/>
        <v>0</v>
      </c>
      <c r="AR185" s="28">
        <f t="shared" si="4"/>
        <v>34178000</v>
      </c>
      <c r="AS185" s="28">
        <f>SUM(AS119:AS184)</f>
        <v>0</v>
      </c>
      <c r="AT185" s="28">
        <f>SUM(AT119:AT184)</f>
        <v>38613220</v>
      </c>
    </row>
    <row r="186" spans="1:46" x14ac:dyDescent="0.25">
      <c r="A186" s="88"/>
      <c r="B186" s="19"/>
      <c r="C186" s="19"/>
      <c r="D186" s="19"/>
      <c r="E186" s="19"/>
      <c r="F186" s="19"/>
      <c r="G186" s="150"/>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7"/>
      <c r="AJ186" s="17"/>
      <c r="AK186" s="17"/>
      <c r="AL186" s="17"/>
      <c r="AM186" s="17"/>
      <c r="AN186" s="17"/>
      <c r="AO186" s="17"/>
      <c r="AP186" s="17"/>
      <c r="AQ186" s="17"/>
      <c r="AR186" s="17"/>
      <c r="AS186" s="17"/>
      <c r="AT186" s="17"/>
    </row>
    <row r="187" spans="1:46" x14ac:dyDescent="0.25">
      <c r="A187" s="88" t="s">
        <v>759</v>
      </c>
      <c r="B187" s="19"/>
      <c r="C187" s="19"/>
      <c r="D187" s="19"/>
      <c r="E187" s="19"/>
      <c r="F187" s="19"/>
      <c r="G187" s="19"/>
      <c r="H187" s="19"/>
      <c r="I187" s="19"/>
      <c r="J187" s="19"/>
      <c r="K187" s="19"/>
      <c r="L187" s="19"/>
      <c r="M187" s="19"/>
      <c r="N187" s="19"/>
      <c r="O187" s="19"/>
      <c r="P187" s="19"/>
      <c r="Q187" s="19"/>
      <c r="R187" s="19"/>
      <c r="S187" s="19">
        <v>769560</v>
      </c>
      <c r="T187" s="19"/>
      <c r="U187" s="19"/>
      <c r="V187" s="19"/>
      <c r="W187" s="19"/>
      <c r="X187" s="19"/>
      <c r="Y187" s="19"/>
      <c r="Z187" s="19"/>
      <c r="AA187" s="19"/>
      <c r="AB187" s="19"/>
      <c r="AC187" s="19"/>
      <c r="AD187" s="19"/>
      <c r="AE187" s="19"/>
      <c r="AF187" s="19"/>
      <c r="AG187" s="19"/>
      <c r="AH187" s="17"/>
      <c r="AI187" s="17"/>
      <c r="AJ187" s="17"/>
      <c r="AK187" s="17"/>
      <c r="AL187" s="17"/>
      <c r="AM187" s="17"/>
      <c r="AN187" s="17"/>
      <c r="AO187" s="17"/>
      <c r="AP187" s="17"/>
      <c r="AQ187" s="17"/>
      <c r="AR187" s="17"/>
      <c r="AS187" s="17"/>
      <c r="AT187" s="17"/>
    </row>
    <row r="188" spans="1:46" x14ac:dyDescent="0.25">
      <c r="A188" s="88" t="s">
        <v>760</v>
      </c>
      <c r="B188" s="19"/>
      <c r="C188" s="19"/>
      <c r="D188" s="19"/>
      <c r="E188" s="19"/>
      <c r="F188" s="19">
        <f>538000+155920</f>
        <v>693920</v>
      </c>
      <c r="G188" s="19">
        <v>655900</v>
      </c>
      <c r="H188" s="19">
        <v>349176</v>
      </c>
      <c r="I188" s="19">
        <v>567720</v>
      </c>
      <c r="J188" s="19"/>
      <c r="K188" s="17">
        <f>408000+289850</f>
        <v>697850</v>
      </c>
      <c r="L188" s="18">
        <f>498260+342000</f>
        <v>840260</v>
      </c>
      <c r="M188" s="19">
        <v>83300</v>
      </c>
      <c r="N188" s="19">
        <v>171000</v>
      </c>
      <c r="O188" s="19"/>
      <c r="P188" s="19"/>
      <c r="Q188" s="19"/>
      <c r="R188" s="19"/>
      <c r="S188" s="19"/>
      <c r="T188" s="19"/>
      <c r="U188" s="19"/>
      <c r="V188" s="19"/>
      <c r="W188" s="30"/>
      <c r="X188" s="19"/>
      <c r="Y188" s="19"/>
      <c r="Z188" s="19"/>
      <c r="AA188" s="19"/>
      <c r="AB188" s="19"/>
      <c r="AC188" s="19"/>
      <c r="AD188" s="19"/>
      <c r="AE188" s="19"/>
      <c r="AF188" s="19"/>
      <c r="AG188" s="19"/>
      <c r="AH188" s="17"/>
      <c r="AI188" s="17"/>
      <c r="AJ188" s="17"/>
      <c r="AK188" s="17"/>
      <c r="AL188" s="17"/>
      <c r="AM188" s="17"/>
      <c r="AN188" s="17"/>
      <c r="AO188" s="17"/>
      <c r="AP188" s="17"/>
      <c r="AQ188" s="17"/>
      <c r="AR188" s="17"/>
      <c r="AS188" s="17"/>
      <c r="AT188" s="17"/>
    </row>
    <row r="189" spans="1:46" x14ac:dyDescent="0.25">
      <c r="A189" s="88"/>
      <c r="B189" s="19"/>
      <c r="C189" s="19"/>
      <c r="D189" s="19"/>
      <c r="E189" s="19"/>
      <c r="F189" s="19"/>
      <c r="G189" s="19"/>
      <c r="H189" s="19"/>
      <c r="I189" s="19"/>
      <c r="J189" s="19"/>
      <c r="K189" s="19"/>
      <c r="L189" s="30"/>
      <c r="M189" s="19"/>
      <c r="N189" s="19"/>
      <c r="O189" s="19"/>
      <c r="P189" s="19"/>
      <c r="Q189" s="19"/>
      <c r="R189" s="19"/>
      <c r="S189" s="19"/>
      <c r="T189" s="19"/>
      <c r="U189" s="19"/>
      <c r="V189" s="19"/>
      <c r="W189" s="30"/>
      <c r="X189" s="19"/>
      <c r="Y189" s="19"/>
      <c r="Z189" s="19"/>
      <c r="AA189" s="19"/>
      <c r="AB189" s="19"/>
      <c r="AC189" s="19"/>
      <c r="AD189" s="19"/>
      <c r="AE189" s="19"/>
      <c r="AF189" s="19"/>
      <c r="AG189" s="19"/>
      <c r="AH189" s="17"/>
      <c r="AI189" s="17"/>
      <c r="AJ189" s="17"/>
      <c r="AK189" s="17"/>
      <c r="AL189" s="17"/>
      <c r="AM189" s="17"/>
      <c r="AN189" s="17"/>
      <c r="AO189" s="17"/>
      <c r="AP189" s="17"/>
      <c r="AQ189" s="17"/>
      <c r="AR189" s="17"/>
      <c r="AS189" s="17"/>
      <c r="AT189" s="17"/>
    </row>
    <row r="190" spans="1:46" x14ac:dyDescent="0.25">
      <c r="A190" s="89" t="s">
        <v>621</v>
      </c>
      <c r="B190" s="30">
        <f t="shared" ref="B190:AT190" si="5">B185-B117</f>
        <v>464000</v>
      </c>
      <c r="C190" s="30">
        <f t="shared" si="5"/>
        <v>697160</v>
      </c>
      <c r="D190" s="30">
        <f t="shared" si="5"/>
        <v>0</v>
      </c>
      <c r="E190" s="30">
        <f t="shared" si="5"/>
        <v>0</v>
      </c>
      <c r="F190" s="30">
        <f t="shared" si="5"/>
        <v>1132108</v>
      </c>
      <c r="G190" s="30">
        <f t="shared" si="5"/>
        <v>1675624</v>
      </c>
      <c r="H190" s="30">
        <f t="shared" si="5"/>
        <v>1300892</v>
      </c>
      <c r="I190" s="30">
        <f t="shared" si="5"/>
        <v>1254410</v>
      </c>
      <c r="J190" s="30">
        <f t="shared" si="5"/>
        <v>2300000</v>
      </c>
      <c r="K190" s="30">
        <f t="shared" si="5"/>
        <v>1942707</v>
      </c>
      <c r="L190" s="30">
        <f t="shared" si="5"/>
        <v>3228760</v>
      </c>
      <c r="M190" s="30">
        <f t="shared" si="5"/>
        <v>2054623</v>
      </c>
      <c r="N190" s="30">
        <f t="shared" si="5"/>
        <v>3989857</v>
      </c>
      <c r="O190" s="30">
        <f t="shared" si="5"/>
        <v>5780000</v>
      </c>
      <c r="P190" s="30">
        <f t="shared" si="5"/>
        <v>4306000</v>
      </c>
      <c r="Q190" s="30">
        <f t="shared" si="5"/>
        <v>3974214</v>
      </c>
      <c r="R190" s="30">
        <f t="shared" si="5"/>
        <v>6139910</v>
      </c>
      <c r="S190" s="30">
        <f t="shared" si="5"/>
        <v>4549867</v>
      </c>
      <c r="T190" s="30">
        <f t="shared" si="5"/>
        <v>5763038</v>
      </c>
      <c r="U190" s="30">
        <f t="shared" si="5"/>
        <v>6462146</v>
      </c>
      <c r="V190" s="30">
        <f t="shared" si="5"/>
        <v>8260481</v>
      </c>
      <c r="W190" s="30">
        <f t="shared" si="5"/>
        <v>6350381</v>
      </c>
      <c r="X190" s="30">
        <f t="shared" si="5"/>
        <v>0</v>
      </c>
      <c r="Y190" s="30">
        <f t="shared" si="5"/>
        <v>6609340</v>
      </c>
      <c r="Z190" s="30">
        <f t="shared" si="5"/>
        <v>5106516</v>
      </c>
      <c r="AA190" s="30">
        <f t="shared" si="5"/>
        <v>0</v>
      </c>
      <c r="AB190" s="30">
        <f t="shared" si="5"/>
        <v>3204360</v>
      </c>
      <c r="AC190" s="30">
        <f t="shared" si="5"/>
        <v>6813888</v>
      </c>
      <c r="AD190" s="30">
        <f t="shared" si="5"/>
        <v>5942351</v>
      </c>
      <c r="AE190" s="30">
        <f t="shared" si="5"/>
        <v>8983953</v>
      </c>
      <c r="AF190" s="30">
        <f t="shared" si="5"/>
        <v>13488714</v>
      </c>
      <c r="AG190" s="30">
        <f t="shared" si="5"/>
        <v>17394835</v>
      </c>
      <c r="AH190" s="30">
        <f t="shared" si="5"/>
        <v>25218166</v>
      </c>
      <c r="AI190" s="30">
        <f t="shared" si="5"/>
        <v>19448158</v>
      </c>
      <c r="AJ190" s="30">
        <f t="shared" si="5"/>
        <v>26176337</v>
      </c>
      <c r="AK190" s="30">
        <f t="shared" si="5"/>
        <v>23710000</v>
      </c>
      <c r="AL190" s="30">
        <f t="shared" si="5"/>
        <v>23912020</v>
      </c>
      <c r="AM190" s="30">
        <f t="shared" si="5"/>
        <v>23485500</v>
      </c>
      <c r="AN190" s="30">
        <f t="shared" si="5"/>
        <v>21519890</v>
      </c>
      <c r="AO190" s="30">
        <f t="shared" si="5"/>
        <v>25000000</v>
      </c>
      <c r="AP190" s="30">
        <f t="shared" si="5"/>
        <v>0</v>
      </c>
      <c r="AQ190" s="30">
        <f t="shared" si="5"/>
        <v>0</v>
      </c>
      <c r="AR190" s="30">
        <f t="shared" si="5"/>
        <v>34178000</v>
      </c>
      <c r="AS190" s="30">
        <f t="shared" si="5"/>
        <v>0</v>
      </c>
      <c r="AT190" s="30">
        <f t="shared" si="5"/>
        <v>38613220</v>
      </c>
    </row>
    <row r="191" spans="1:46" x14ac:dyDescent="0.25">
      <c r="A191" s="89"/>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c r="AQ191" s="30"/>
      <c r="AR191" s="30"/>
      <c r="AS191" s="30"/>
      <c r="AT191" s="30"/>
    </row>
    <row r="192" spans="1:46" x14ac:dyDescent="0.25">
      <c r="A192" s="90" t="s">
        <v>622</v>
      </c>
      <c r="B192" s="30">
        <f t="shared" ref="B192:AT192" si="6">B106</f>
        <v>464000</v>
      </c>
      <c r="C192" s="30">
        <f t="shared" si="6"/>
        <v>614000</v>
      </c>
      <c r="D192" s="30">
        <f t="shared" si="6"/>
        <v>0</v>
      </c>
      <c r="E192" s="30">
        <f t="shared" si="6"/>
        <v>0</v>
      </c>
      <c r="F192" s="30">
        <f t="shared" si="6"/>
        <v>2186375</v>
      </c>
      <c r="G192" s="30">
        <f t="shared" si="6"/>
        <v>1404800</v>
      </c>
      <c r="H192" s="30">
        <f t="shared" si="6"/>
        <v>877692</v>
      </c>
      <c r="I192" s="30">
        <f t="shared" si="6"/>
        <v>1412820</v>
      </c>
      <c r="J192" s="30">
        <f t="shared" si="6"/>
        <v>2300000</v>
      </c>
      <c r="K192" s="30">
        <f t="shared" si="6"/>
        <v>2260160</v>
      </c>
      <c r="L192" s="30">
        <f t="shared" si="6"/>
        <v>2541620</v>
      </c>
      <c r="M192" s="30">
        <f t="shared" si="6"/>
        <v>3506080</v>
      </c>
      <c r="N192" s="30">
        <f t="shared" si="6"/>
        <v>3665658</v>
      </c>
      <c r="O192" s="30">
        <f t="shared" si="6"/>
        <v>4263875</v>
      </c>
      <c r="P192" s="30">
        <f t="shared" si="6"/>
        <v>3832700</v>
      </c>
      <c r="Q192" s="30">
        <f t="shared" si="6"/>
        <v>4400608</v>
      </c>
      <c r="R192" s="30">
        <f t="shared" si="6"/>
        <v>4147600</v>
      </c>
      <c r="S192" s="30">
        <f t="shared" si="6"/>
        <v>6175910</v>
      </c>
      <c r="T192" s="30">
        <f t="shared" si="6"/>
        <v>5601956</v>
      </c>
      <c r="U192" s="30">
        <f t="shared" si="6"/>
        <v>2956322</v>
      </c>
      <c r="V192" s="30">
        <f t="shared" si="6"/>
        <v>3648000</v>
      </c>
      <c r="W192" s="30">
        <f t="shared" si="6"/>
        <v>3599980</v>
      </c>
      <c r="X192" s="30">
        <f t="shared" si="6"/>
        <v>0</v>
      </c>
      <c r="Y192" s="30">
        <f t="shared" si="6"/>
        <v>6942810</v>
      </c>
      <c r="Z192" s="30">
        <f t="shared" si="6"/>
        <v>4915800</v>
      </c>
      <c r="AA192" s="30">
        <f t="shared" si="6"/>
        <v>0</v>
      </c>
      <c r="AB192" s="30">
        <f t="shared" si="6"/>
        <v>5503260</v>
      </c>
      <c r="AC192" s="30">
        <f t="shared" si="6"/>
        <v>5260720</v>
      </c>
      <c r="AD192" s="30">
        <f t="shared" si="6"/>
        <v>6431065</v>
      </c>
      <c r="AE192" s="30">
        <f t="shared" si="6"/>
        <v>10762880</v>
      </c>
      <c r="AF192" s="30">
        <f t="shared" si="6"/>
        <v>13000000</v>
      </c>
      <c r="AG192" s="30">
        <f t="shared" si="6"/>
        <v>16526378</v>
      </c>
      <c r="AH192" s="30">
        <f t="shared" si="6"/>
        <v>23371055</v>
      </c>
      <c r="AI192" s="30">
        <f t="shared" si="6"/>
        <v>21332790</v>
      </c>
      <c r="AJ192" s="30">
        <f t="shared" si="6"/>
        <v>25779990</v>
      </c>
      <c r="AK192" s="30">
        <f t="shared" si="6"/>
        <v>23710000</v>
      </c>
      <c r="AL192" s="30">
        <f t="shared" si="6"/>
        <v>23908110</v>
      </c>
      <c r="AM192" s="30">
        <f t="shared" si="6"/>
        <v>25000000</v>
      </c>
      <c r="AN192" s="30">
        <f t="shared" si="6"/>
        <v>23552790</v>
      </c>
      <c r="AO192" s="30">
        <f t="shared" si="6"/>
        <v>25000000</v>
      </c>
      <c r="AP192" s="30">
        <f t="shared" si="6"/>
        <v>0</v>
      </c>
      <c r="AQ192" s="30">
        <f t="shared" si="6"/>
        <v>0</v>
      </c>
      <c r="AR192" s="30">
        <f t="shared" si="6"/>
        <v>34978000</v>
      </c>
      <c r="AS192" s="30">
        <f t="shared" si="6"/>
        <v>0</v>
      </c>
      <c r="AT192" s="30">
        <f t="shared" si="6"/>
        <v>38613220</v>
      </c>
    </row>
    <row r="193" spans="1:46" x14ac:dyDescent="0.25">
      <c r="A193" s="89"/>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c r="AS193" s="30"/>
      <c r="AT193" s="30"/>
    </row>
    <row r="194" spans="1:46" x14ac:dyDescent="0.25">
      <c r="A194" s="89" t="s">
        <v>623</v>
      </c>
      <c r="B194" s="108">
        <f>B192-B190</f>
        <v>0</v>
      </c>
      <c r="C194" s="108">
        <f t="shared" ref="C194:AT194" si="7">C192-C190</f>
        <v>-83160</v>
      </c>
      <c r="D194" s="108">
        <f t="shared" si="7"/>
        <v>0</v>
      </c>
      <c r="E194" s="108">
        <f t="shared" si="7"/>
        <v>0</v>
      </c>
      <c r="F194" s="108">
        <f t="shared" si="7"/>
        <v>1054267</v>
      </c>
      <c r="G194" s="108">
        <f t="shared" si="7"/>
        <v>-270824</v>
      </c>
      <c r="H194" s="108">
        <f t="shared" si="7"/>
        <v>-423200</v>
      </c>
      <c r="I194" s="108">
        <f t="shared" si="7"/>
        <v>158410</v>
      </c>
      <c r="J194" s="108">
        <f t="shared" si="7"/>
        <v>0</v>
      </c>
      <c r="K194" s="108">
        <f t="shared" si="7"/>
        <v>317453</v>
      </c>
      <c r="L194" s="108">
        <f t="shared" si="7"/>
        <v>-687140</v>
      </c>
      <c r="M194" s="108">
        <f t="shared" si="7"/>
        <v>1451457</v>
      </c>
      <c r="N194" s="108">
        <f t="shared" si="7"/>
        <v>-324199</v>
      </c>
      <c r="O194" s="108">
        <f t="shared" si="7"/>
        <v>-1516125</v>
      </c>
      <c r="P194" s="108">
        <f t="shared" si="7"/>
        <v>-473300</v>
      </c>
      <c r="Q194" s="108">
        <f t="shared" si="7"/>
        <v>426394</v>
      </c>
      <c r="R194" s="108">
        <f t="shared" si="7"/>
        <v>-1992310</v>
      </c>
      <c r="S194" s="108">
        <f t="shared" si="7"/>
        <v>1626043</v>
      </c>
      <c r="T194" s="108">
        <f t="shared" si="7"/>
        <v>-161082</v>
      </c>
      <c r="U194" s="108">
        <f t="shared" si="7"/>
        <v>-3505824</v>
      </c>
      <c r="V194" s="108">
        <f t="shared" si="7"/>
        <v>-4612481</v>
      </c>
      <c r="W194" s="108">
        <f t="shared" si="7"/>
        <v>-2750401</v>
      </c>
      <c r="X194" s="108">
        <f t="shared" si="7"/>
        <v>0</v>
      </c>
      <c r="Y194" s="108">
        <f t="shared" si="7"/>
        <v>333470</v>
      </c>
      <c r="Z194" s="108">
        <f t="shared" si="7"/>
        <v>-190716</v>
      </c>
      <c r="AA194" s="108">
        <f t="shared" si="7"/>
        <v>0</v>
      </c>
      <c r="AB194" s="108">
        <f t="shared" si="7"/>
        <v>2298900</v>
      </c>
      <c r="AC194" s="108">
        <f t="shared" si="7"/>
        <v>-1553168</v>
      </c>
      <c r="AD194" s="108">
        <f t="shared" si="7"/>
        <v>488714</v>
      </c>
      <c r="AE194" s="108">
        <f t="shared" si="7"/>
        <v>1778927</v>
      </c>
      <c r="AF194" s="108">
        <f t="shared" si="7"/>
        <v>-488714</v>
      </c>
      <c r="AG194" s="108">
        <f t="shared" si="7"/>
        <v>-868457</v>
      </c>
      <c r="AH194" s="108">
        <f t="shared" si="7"/>
        <v>-1847111</v>
      </c>
      <c r="AI194" s="108">
        <f t="shared" si="7"/>
        <v>1884632</v>
      </c>
      <c r="AJ194" s="108">
        <f t="shared" si="7"/>
        <v>-396347</v>
      </c>
      <c r="AK194" s="108">
        <f t="shared" si="7"/>
        <v>0</v>
      </c>
      <c r="AL194" s="108">
        <f t="shared" si="7"/>
        <v>-3910</v>
      </c>
      <c r="AM194" s="108">
        <f t="shared" si="7"/>
        <v>1514500</v>
      </c>
      <c r="AN194" s="108">
        <f t="shared" si="7"/>
        <v>2032900</v>
      </c>
      <c r="AO194" s="108">
        <f t="shared" si="7"/>
        <v>0</v>
      </c>
      <c r="AP194" s="108">
        <f t="shared" si="7"/>
        <v>0</v>
      </c>
      <c r="AQ194" s="108">
        <f t="shared" si="7"/>
        <v>0</v>
      </c>
      <c r="AR194" s="108">
        <f t="shared" si="7"/>
        <v>800000</v>
      </c>
      <c r="AS194" s="108">
        <f t="shared" si="7"/>
        <v>0</v>
      </c>
      <c r="AT194" s="108">
        <f t="shared" si="7"/>
        <v>0</v>
      </c>
    </row>
    <row r="195" spans="1:46" x14ac:dyDescent="0.25">
      <c r="A195" s="89"/>
      <c r="B195" s="108"/>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c r="AA195" s="108"/>
      <c r="AB195" s="108"/>
      <c r="AC195" s="108"/>
      <c r="AD195" s="108"/>
      <c r="AE195" s="108"/>
      <c r="AF195" s="108"/>
      <c r="AG195" s="108"/>
      <c r="AH195" s="108"/>
      <c r="AI195" s="108"/>
      <c r="AJ195" s="108"/>
      <c r="AK195" s="108"/>
      <c r="AL195" s="108"/>
      <c r="AM195" s="108"/>
      <c r="AN195" s="108"/>
      <c r="AO195" s="108"/>
      <c r="AP195" s="108"/>
      <c r="AQ195" s="108"/>
      <c r="AR195" s="108"/>
      <c r="AS195" s="108"/>
      <c r="AT195" s="108"/>
    </row>
    <row r="196" spans="1:46" x14ac:dyDescent="0.25">
      <c r="A196" s="88"/>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row>
    <row r="197" spans="1:46" x14ac:dyDescent="0.25">
      <c r="A197" s="89"/>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row>
    <row r="198" spans="1:46" x14ac:dyDescent="0.25">
      <c r="A198" s="82"/>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row>
    <row r="199" spans="1:46" x14ac:dyDescent="0.25">
      <c r="A199" s="88"/>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row>
    <row r="200" spans="1:46" x14ac:dyDescent="0.25">
      <c r="A200" s="88"/>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row>
    <row r="201" spans="1:46" x14ac:dyDescent="0.25">
      <c r="A201" s="88"/>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row>
    <row r="202" spans="1:46" x14ac:dyDescent="0.25">
      <c r="A202" s="88"/>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row>
    <row r="203" spans="1:46" x14ac:dyDescent="0.25">
      <c r="A203" s="88"/>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row>
    <row r="204" spans="1:46" x14ac:dyDescent="0.25">
      <c r="A204" s="88"/>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row>
    <row r="205" spans="1:46" x14ac:dyDescent="0.25">
      <c r="A205" s="88"/>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row>
    <row r="206" spans="1:46" x14ac:dyDescent="0.25">
      <c r="A206" s="88"/>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row>
    <row r="207" spans="1:46" x14ac:dyDescent="0.25">
      <c r="A207" s="88"/>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row>
    <row r="208" spans="1:46" x14ac:dyDescent="0.25">
      <c r="A208" s="88"/>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row>
    <row r="209" spans="1:46" x14ac:dyDescent="0.25">
      <c r="A209" s="88"/>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row>
    <row r="210" spans="1:46" x14ac:dyDescent="0.25">
      <c r="A210" s="88"/>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row>
    <row r="211" spans="1:46" x14ac:dyDescent="0.25">
      <c r="A211" s="88"/>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row>
  </sheetData>
  <sortState ref="A137:AT146">
    <sortCondition ref="A137:A146"/>
  </sortState>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48"/>
  <sheetViews>
    <sheetView showZeros="0" zoomScaleNormal="100" workbookViewId="0">
      <pane xSplit="1" ySplit="7" topLeftCell="B8" activePane="bottomRight" state="frozen"/>
      <selection pane="topRight" activeCell="B1" sqref="B1"/>
      <selection pane="bottomLeft" activeCell="A8" sqref="A8"/>
      <selection pane="bottomRight" activeCell="B8" sqref="B8"/>
    </sheetView>
  </sheetViews>
  <sheetFormatPr defaultRowHeight="15" x14ac:dyDescent="0.25"/>
  <cols>
    <col min="1" max="1" width="70.7109375" style="83" customWidth="1"/>
    <col min="2" max="8" width="20.7109375" style="14" customWidth="1"/>
    <col min="9" max="14" width="10.7109375" style="14" customWidth="1"/>
    <col min="15" max="18" width="20.7109375" style="14" customWidth="1"/>
    <col min="19" max="19" width="10.7109375" style="14" customWidth="1"/>
    <col min="20" max="25" width="20.7109375" style="14" customWidth="1"/>
    <col min="26" max="16384" width="9.140625" style="14"/>
  </cols>
  <sheetData>
    <row r="1" spans="1:25" x14ac:dyDescent="0.25">
      <c r="A1" s="78" t="s">
        <v>87</v>
      </c>
    </row>
    <row r="2" spans="1:25" x14ac:dyDescent="0.25">
      <c r="A2" s="79" t="s">
        <v>1071</v>
      </c>
      <c r="B2" s="22" t="s">
        <v>515</v>
      </c>
      <c r="C2" s="114" t="s">
        <v>806</v>
      </c>
      <c r="D2" s="115"/>
      <c r="E2" s="22" t="s">
        <v>1169</v>
      </c>
      <c r="F2" s="22" t="s">
        <v>1121</v>
      </c>
      <c r="G2" s="22" t="s">
        <v>1169</v>
      </c>
      <c r="H2" s="22" t="s">
        <v>1121</v>
      </c>
      <c r="I2" s="22"/>
      <c r="J2" s="22"/>
      <c r="K2" s="22"/>
      <c r="L2" s="22"/>
      <c r="M2" s="22"/>
      <c r="N2" s="22"/>
      <c r="O2" s="22" t="s">
        <v>1170</v>
      </c>
      <c r="P2" s="22" t="s">
        <v>1171</v>
      </c>
      <c r="Q2" s="23" t="s">
        <v>1172</v>
      </c>
      <c r="R2" s="22" t="s">
        <v>1173</v>
      </c>
      <c r="S2" s="22"/>
      <c r="T2" s="22" t="s">
        <v>1174</v>
      </c>
      <c r="U2" s="22" t="s">
        <v>1154</v>
      </c>
      <c r="V2" s="22" t="s">
        <v>1164</v>
      </c>
      <c r="W2" s="22" t="s">
        <v>1175</v>
      </c>
      <c r="X2" s="22" t="s">
        <v>1176</v>
      </c>
      <c r="Y2" s="22" t="s">
        <v>1175</v>
      </c>
    </row>
    <row r="3" spans="1:25" x14ac:dyDescent="0.25">
      <c r="A3" s="79" t="s">
        <v>1072</v>
      </c>
      <c r="B3" s="22" t="s">
        <v>1350</v>
      </c>
      <c r="C3" s="114" t="s">
        <v>1351</v>
      </c>
      <c r="D3" s="115"/>
      <c r="E3" s="22" t="s">
        <v>1352</v>
      </c>
      <c r="F3" s="22" t="s">
        <v>1353</v>
      </c>
      <c r="G3" s="22" t="s">
        <v>1352</v>
      </c>
      <c r="H3" s="22" t="s">
        <v>1353</v>
      </c>
      <c r="I3" s="22"/>
      <c r="J3" s="22"/>
      <c r="K3" s="22"/>
      <c r="L3" s="22"/>
      <c r="M3" s="22"/>
      <c r="N3" s="22"/>
      <c r="O3" s="22" t="s">
        <v>1354</v>
      </c>
      <c r="P3" s="22" t="s">
        <v>1355</v>
      </c>
      <c r="Q3" s="23" t="s">
        <v>1356</v>
      </c>
      <c r="R3" s="22" t="s">
        <v>1357</v>
      </c>
      <c r="S3" s="22"/>
      <c r="T3" s="22" t="s">
        <v>1358</v>
      </c>
      <c r="U3" s="22" t="s">
        <v>1359</v>
      </c>
      <c r="V3" s="22" t="s">
        <v>1360</v>
      </c>
      <c r="W3" s="22" t="s">
        <v>1361</v>
      </c>
      <c r="X3" s="22" t="s">
        <v>1362</v>
      </c>
      <c r="Y3" s="22" t="s">
        <v>1361</v>
      </c>
    </row>
    <row r="4" spans="1:25" x14ac:dyDescent="0.25">
      <c r="A4" s="80" t="s">
        <v>85</v>
      </c>
      <c r="B4" s="24" t="s">
        <v>807</v>
      </c>
      <c r="C4" s="116" t="s">
        <v>808</v>
      </c>
      <c r="D4" s="117" t="s">
        <v>809</v>
      </c>
      <c r="E4" s="24" t="s">
        <v>206</v>
      </c>
      <c r="F4" s="24" t="s">
        <v>207</v>
      </c>
      <c r="G4" s="24" t="s">
        <v>208</v>
      </c>
      <c r="H4" s="24" t="s">
        <v>209</v>
      </c>
      <c r="I4" s="24">
        <v>71</v>
      </c>
      <c r="J4" s="24">
        <v>72</v>
      </c>
      <c r="K4" s="24">
        <v>73</v>
      </c>
      <c r="L4" s="24">
        <v>74</v>
      </c>
      <c r="M4" s="24">
        <v>75</v>
      </c>
      <c r="N4" s="24">
        <v>76</v>
      </c>
      <c r="O4" s="24" t="s">
        <v>294</v>
      </c>
      <c r="P4" s="24" t="s">
        <v>216</v>
      </c>
      <c r="Q4" s="25" t="s">
        <v>23</v>
      </c>
      <c r="R4" s="24" t="s">
        <v>24</v>
      </c>
      <c r="S4" s="24" t="s">
        <v>25</v>
      </c>
      <c r="T4" s="24" t="s">
        <v>26</v>
      </c>
      <c r="U4" s="24" t="s">
        <v>27</v>
      </c>
      <c r="V4" s="24" t="s">
        <v>28</v>
      </c>
      <c r="W4" s="24" t="s">
        <v>29</v>
      </c>
      <c r="X4" s="24" t="s">
        <v>30</v>
      </c>
      <c r="Y4" s="24" t="s">
        <v>31</v>
      </c>
    </row>
    <row r="5" spans="1:25" x14ac:dyDescent="0.25">
      <c r="A5" s="81" t="s">
        <v>86</v>
      </c>
      <c r="B5" s="22" t="s">
        <v>810</v>
      </c>
      <c r="C5" s="114" t="s">
        <v>811</v>
      </c>
      <c r="D5" s="115" t="s">
        <v>812</v>
      </c>
      <c r="E5" s="22" t="s">
        <v>813</v>
      </c>
      <c r="F5" s="22" t="s">
        <v>814</v>
      </c>
      <c r="G5" s="22" t="s">
        <v>813</v>
      </c>
      <c r="H5" s="22" t="s">
        <v>814</v>
      </c>
      <c r="I5" s="22"/>
      <c r="J5" s="22"/>
      <c r="K5" s="22"/>
      <c r="L5" s="22"/>
      <c r="M5" s="22"/>
      <c r="N5" s="22"/>
      <c r="O5" s="22" t="s">
        <v>815</v>
      </c>
      <c r="P5" s="22" t="s">
        <v>816</v>
      </c>
      <c r="Q5" s="23" t="s">
        <v>817</v>
      </c>
      <c r="R5" s="22" t="s">
        <v>818</v>
      </c>
      <c r="S5" s="22"/>
      <c r="T5" s="22" t="s">
        <v>819</v>
      </c>
      <c r="U5" s="22" t="s">
        <v>820</v>
      </c>
      <c r="V5" s="22" t="s">
        <v>819</v>
      </c>
      <c r="W5" s="22" t="s">
        <v>67</v>
      </c>
      <c r="X5" s="22" t="s">
        <v>821</v>
      </c>
      <c r="Y5" s="22" t="s">
        <v>822</v>
      </c>
    </row>
    <row r="6" spans="1:25" x14ac:dyDescent="0.25">
      <c r="A6" s="79" t="s">
        <v>84</v>
      </c>
      <c r="B6" s="16" t="s">
        <v>70</v>
      </c>
      <c r="C6" s="16" t="s">
        <v>70</v>
      </c>
      <c r="D6" s="109" t="s">
        <v>823</v>
      </c>
      <c r="E6" s="16" t="s">
        <v>70</v>
      </c>
      <c r="F6" s="16" t="s">
        <v>70</v>
      </c>
      <c r="G6" s="39" t="s">
        <v>71</v>
      </c>
      <c r="H6" s="39" t="s">
        <v>71</v>
      </c>
      <c r="I6" s="16"/>
      <c r="J6" s="16"/>
      <c r="K6" s="16"/>
      <c r="L6" s="16"/>
      <c r="M6" s="16"/>
      <c r="N6" s="16"/>
      <c r="O6" s="16" t="s">
        <v>70</v>
      </c>
      <c r="P6" s="16" t="s">
        <v>70</v>
      </c>
      <c r="Q6" s="16" t="s">
        <v>70</v>
      </c>
      <c r="R6" s="16" t="s">
        <v>70</v>
      </c>
      <c r="S6" s="16" t="s">
        <v>5</v>
      </c>
      <c r="T6" s="39" t="s">
        <v>71</v>
      </c>
      <c r="U6" s="39" t="s">
        <v>71</v>
      </c>
      <c r="V6" s="39" t="s">
        <v>71</v>
      </c>
      <c r="W6" s="16" t="s">
        <v>70</v>
      </c>
      <c r="X6" s="39" t="s">
        <v>71</v>
      </c>
      <c r="Y6" s="39" t="s">
        <v>71</v>
      </c>
    </row>
    <row r="7" spans="1:25" x14ac:dyDescent="0.25">
      <c r="A7" s="98"/>
      <c r="B7" s="27"/>
      <c r="C7" s="118"/>
      <c r="D7" s="119"/>
      <c r="E7" s="27"/>
      <c r="F7" s="27"/>
      <c r="G7" s="27"/>
      <c r="H7" s="27"/>
      <c r="I7" s="27"/>
      <c r="J7" s="27"/>
      <c r="K7" s="27"/>
      <c r="L7" s="27"/>
      <c r="M7" s="27"/>
      <c r="N7" s="27"/>
      <c r="O7" s="27"/>
      <c r="P7" s="27"/>
      <c r="Q7" s="27"/>
      <c r="R7" s="27"/>
      <c r="S7" s="27"/>
      <c r="T7" s="27"/>
      <c r="U7" s="27"/>
      <c r="V7" s="29"/>
      <c r="W7" s="13"/>
      <c r="X7" s="13"/>
      <c r="Y7" s="28"/>
    </row>
    <row r="8" spans="1:25" x14ac:dyDescent="0.25">
      <c r="A8" s="34" t="s">
        <v>583</v>
      </c>
      <c r="B8" s="18"/>
      <c r="C8" s="120">
        <v>96480</v>
      </c>
      <c r="D8" s="121">
        <f>C8+B8</f>
        <v>96480</v>
      </c>
      <c r="E8" s="18">
        <v>153200</v>
      </c>
      <c r="F8" s="18">
        <v>58726</v>
      </c>
      <c r="G8" s="18">
        <v>58726</v>
      </c>
      <c r="H8" s="18">
        <v>13451</v>
      </c>
      <c r="I8" s="18"/>
      <c r="J8" s="18"/>
      <c r="K8" s="18"/>
      <c r="L8" s="18"/>
      <c r="M8" s="18"/>
      <c r="N8" s="18"/>
      <c r="O8" s="18">
        <v>239500</v>
      </c>
      <c r="P8" s="18">
        <v>120000</v>
      </c>
      <c r="Q8" s="13"/>
      <c r="R8" s="13">
        <v>193700</v>
      </c>
      <c r="S8" s="13"/>
      <c r="T8" s="13"/>
      <c r="U8" s="13"/>
      <c r="V8" s="13"/>
      <c r="W8" s="13">
        <v>394382</v>
      </c>
      <c r="X8" s="13"/>
      <c r="Y8" s="13"/>
    </row>
    <row r="9" spans="1:25" x14ac:dyDescent="0.25">
      <c r="A9" s="80" t="s">
        <v>674</v>
      </c>
      <c r="B9" s="18"/>
      <c r="C9" s="120"/>
      <c r="D9" s="121"/>
      <c r="E9" s="18"/>
      <c r="F9" s="18"/>
      <c r="G9" s="18"/>
      <c r="H9" s="18"/>
      <c r="I9" s="18"/>
      <c r="J9" s="18"/>
      <c r="K9" s="18"/>
      <c r="L9" s="18"/>
      <c r="M9" s="18"/>
      <c r="N9" s="18"/>
      <c r="O9" s="18"/>
      <c r="P9" s="18"/>
      <c r="Q9" s="23"/>
      <c r="R9" s="23"/>
      <c r="S9" s="23"/>
      <c r="T9" s="23"/>
      <c r="U9" s="23"/>
      <c r="V9" s="13"/>
      <c r="W9" s="13"/>
      <c r="X9" s="13"/>
      <c r="Y9" s="22"/>
    </row>
    <row r="10" spans="1:25" x14ac:dyDescent="0.25">
      <c r="A10" s="75" t="s">
        <v>139</v>
      </c>
      <c r="B10" s="18"/>
      <c r="C10" s="120"/>
      <c r="D10" s="121">
        <f t="shared" ref="D10:D43" si="0">C10+B10</f>
        <v>0</v>
      </c>
      <c r="E10" s="18"/>
      <c r="F10" s="18"/>
      <c r="G10" s="18"/>
      <c r="H10" s="18"/>
      <c r="I10" s="18"/>
      <c r="J10" s="18"/>
      <c r="K10" s="18"/>
      <c r="L10" s="18"/>
      <c r="M10" s="18"/>
      <c r="N10" s="18"/>
      <c r="O10" s="18"/>
      <c r="P10" s="18"/>
      <c r="Q10" s="18"/>
      <c r="R10" s="18"/>
      <c r="S10" s="18"/>
      <c r="T10" s="18"/>
      <c r="U10" s="18"/>
      <c r="V10" s="13">
        <v>45000</v>
      </c>
      <c r="W10" s="13"/>
      <c r="X10" s="13">
        <v>45000</v>
      </c>
      <c r="Y10" s="18">
        <v>60000</v>
      </c>
    </row>
    <row r="11" spans="1:25" x14ac:dyDescent="0.25">
      <c r="A11" s="75" t="s">
        <v>140</v>
      </c>
      <c r="B11" s="18">
        <v>95800</v>
      </c>
      <c r="C11" s="120">
        <v>17600</v>
      </c>
      <c r="D11" s="121">
        <f t="shared" si="0"/>
        <v>113400</v>
      </c>
      <c r="E11" s="18">
        <v>35200</v>
      </c>
      <c r="F11" s="18">
        <v>44800</v>
      </c>
      <c r="G11" s="18">
        <v>35200</v>
      </c>
      <c r="H11" s="18">
        <v>44800</v>
      </c>
      <c r="I11" s="18"/>
      <c r="J11" s="18"/>
      <c r="K11" s="18"/>
      <c r="L11" s="18"/>
      <c r="M11" s="18"/>
      <c r="N11" s="18"/>
      <c r="O11" s="18">
        <v>256000</v>
      </c>
      <c r="P11" s="18">
        <v>249600</v>
      </c>
      <c r="Q11" s="18">
        <v>350400</v>
      </c>
      <c r="R11" s="18">
        <v>158400</v>
      </c>
      <c r="S11" s="18"/>
      <c r="T11" s="18"/>
      <c r="U11" s="18"/>
      <c r="V11" s="13">
        <v>120000</v>
      </c>
      <c r="W11" s="13"/>
      <c r="X11" s="13">
        <v>150000</v>
      </c>
      <c r="Y11" s="18">
        <v>150000</v>
      </c>
    </row>
    <row r="12" spans="1:25" ht="15" customHeight="1" x14ac:dyDescent="0.25">
      <c r="A12" s="34" t="s">
        <v>828</v>
      </c>
      <c r="B12" s="18">
        <v>49200</v>
      </c>
      <c r="C12" s="120">
        <v>111440</v>
      </c>
      <c r="D12" s="121">
        <f t="shared" si="0"/>
        <v>160640</v>
      </c>
      <c r="E12" s="18">
        <f>54000+117120</f>
        <v>171120</v>
      </c>
      <c r="F12" s="18">
        <v>192720</v>
      </c>
      <c r="G12" s="18">
        <v>171120</v>
      </c>
      <c r="H12" s="18">
        <v>192620</v>
      </c>
      <c r="I12" s="18"/>
      <c r="J12" s="18"/>
      <c r="K12" s="18"/>
      <c r="L12" s="18"/>
      <c r="M12" s="18"/>
      <c r="N12" s="18"/>
      <c r="O12" s="18"/>
      <c r="P12" s="18"/>
      <c r="Q12" s="18"/>
      <c r="R12" s="18"/>
      <c r="S12" s="18"/>
      <c r="T12" s="18"/>
      <c r="U12" s="18"/>
      <c r="V12" s="13"/>
      <c r="W12" s="13"/>
      <c r="X12" s="13"/>
      <c r="Y12" s="13"/>
    </row>
    <row r="13" spans="1:25" ht="15" customHeight="1" x14ac:dyDescent="0.25">
      <c r="A13" s="34" t="s">
        <v>827</v>
      </c>
      <c r="B13" s="18"/>
      <c r="C13" s="120">
        <v>75000</v>
      </c>
      <c r="D13" s="121">
        <f t="shared" si="0"/>
        <v>75000</v>
      </c>
      <c r="E13" s="18">
        <v>135000</v>
      </c>
      <c r="F13" s="18">
        <v>165000</v>
      </c>
      <c r="G13" s="18">
        <v>135000</v>
      </c>
      <c r="H13" s="18">
        <v>165000</v>
      </c>
      <c r="I13" s="18"/>
      <c r="J13" s="18"/>
      <c r="K13" s="18"/>
      <c r="L13" s="18"/>
      <c r="M13" s="18"/>
      <c r="N13" s="18"/>
      <c r="O13" s="18"/>
      <c r="P13" s="18"/>
      <c r="Q13" s="18"/>
      <c r="R13" s="18"/>
      <c r="S13" s="18"/>
      <c r="T13" s="18"/>
      <c r="U13" s="18"/>
      <c r="V13" s="13">
        <f>100000</f>
        <v>100000</v>
      </c>
      <c r="W13" s="13"/>
      <c r="X13" s="13"/>
      <c r="Y13" s="13"/>
    </row>
    <row r="14" spans="1:25" x14ac:dyDescent="0.25">
      <c r="A14" s="34" t="s">
        <v>1039</v>
      </c>
      <c r="B14" s="18"/>
      <c r="C14" s="120"/>
      <c r="D14" s="121">
        <f t="shared" si="0"/>
        <v>0</v>
      </c>
      <c r="E14" s="18"/>
      <c r="F14" s="18"/>
      <c r="G14" s="18"/>
      <c r="H14" s="18"/>
      <c r="I14" s="18"/>
      <c r="J14" s="18"/>
      <c r="K14" s="18"/>
      <c r="L14" s="18"/>
      <c r="M14" s="18"/>
      <c r="N14" s="18"/>
      <c r="O14" s="18"/>
      <c r="P14" s="18"/>
      <c r="Q14" s="18"/>
      <c r="R14" s="18"/>
      <c r="S14" s="18"/>
      <c r="T14" s="18"/>
      <c r="U14" s="18"/>
      <c r="V14" s="13">
        <v>50000</v>
      </c>
      <c r="W14" s="13"/>
      <c r="X14" s="13">
        <v>50000</v>
      </c>
      <c r="Y14" s="13">
        <v>40000</v>
      </c>
    </row>
    <row r="15" spans="1:25" x14ac:dyDescent="0.25">
      <c r="A15" s="34" t="s">
        <v>1040</v>
      </c>
      <c r="B15" s="18"/>
      <c r="C15" s="120"/>
      <c r="D15" s="121">
        <f t="shared" si="0"/>
        <v>0</v>
      </c>
      <c r="E15" s="18"/>
      <c r="F15" s="18"/>
      <c r="G15" s="18"/>
      <c r="H15" s="18"/>
      <c r="I15" s="18"/>
      <c r="J15" s="18"/>
      <c r="K15" s="18"/>
      <c r="L15" s="18"/>
      <c r="M15" s="18"/>
      <c r="N15" s="18"/>
      <c r="O15" s="18"/>
      <c r="P15" s="18"/>
      <c r="Q15" s="18"/>
      <c r="R15" s="18"/>
      <c r="S15" s="18"/>
      <c r="T15" s="18"/>
      <c r="U15" s="18"/>
      <c r="V15" s="13">
        <v>160000</v>
      </c>
      <c r="W15" s="13"/>
      <c r="X15" s="13">
        <v>200000</v>
      </c>
      <c r="Y15" s="13"/>
    </row>
    <row r="16" spans="1:25" x14ac:dyDescent="0.25">
      <c r="A16" s="34" t="s">
        <v>115</v>
      </c>
      <c r="B16" s="18"/>
      <c r="C16" s="120"/>
      <c r="D16" s="121">
        <f t="shared" si="0"/>
        <v>0</v>
      </c>
      <c r="E16" s="18"/>
      <c r="F16" s="18"/>
      <c r="G16" s="18"/>
      <c r="H16" s="18"/>
      <c r="I16" s="18"/>
      <c r="J16" s="18"/>
      <c r="K16" s="18"/>
      <c r="L16" s="18"/>
      <c r="M16" s="18"/>
      <c r="N16" s="18"/>
      <c r="O16" s="18"/>
      <c r="P16" s="18"/>
      <c r="Q16" s="18"/>
      <c r="R16" s="18"/>
      <c r="S16" s="18"/>
      <c r="T16" s="18">
        <v>60000</v>
      </c>
      <c r="U16" s="18">
        <v>60000</v>
      </c>
      <c r="V16" s="13">
        <v>50000</v>
      </c>
      <c r="W16" s="13"/>
      <c r="X16" s="13">
        <v>100000</v>
      </c>
      <c r="Y16" s="13">
        <v>100000</v>
      </c>
    </row>
    <row r="17" spans="1:25" x14ac:dyDescent="0.25">
      <c r="A17" s="34" t="s">
        <v>265</v>
      </c>
      <c r="B17" s="18"/>
      <c r="C17" s="120"/>
      <c r="D17" s="121">
        <f t="shared" si="0"/>
        <v>0</v>
      </c>
      <c r="E17" s="18"/>
      <c r="F17" s="18"/>
      <c r="G17" s="18"/>
      <c r="H17" s="18"/>
      <c r="I17" s="18"/>
      <c r="J17" s="18"/>
      <c r="K17" s="18"/>
      <c r="L17" s="18"/>
      <c r="M17" s="18"/>
      <c r="N17" s="18"/>
      <c r="O17" s="18">
        <v>10000</v>
      </c>
      <c r="P17" s="18"/>
      <c r="Q17" s="18"/>
      <c r="R17" s="18"/>
      <c r="S17" s="18"/>
      <c r="T17" s="18">
        <v>150000</v>
      </c>
      <c r="U17" s="18">
        <v>200000</v>
      </c>
      <c r="V17" s="13">
        <v>150000</v>
      </c>
      <c r="W17" s="13"/>
      <c r="X17" s="13">
        <v>150000</v>
      </c>
      <c r="Y17" s="13">
        <v>150000</v>
      </c>
    </row>
    <row r="18" spans="1:25" x14ac:dyDescent="0.25">
      <c r="A18" s="34" t="s">
        <v>1041</v>
      </c>
      <c r="B18" s="18"/>
      <c r="C18" s="120"/>
      <c r="D18" s="121">
        <f t="shared" si="0"/>
        <v>0</v>
      </c>
      <c r="E18" s="18"/>
      <c r="F18" s="18"/>
      <c r="G18" s="18"/>
      <c r="H18" s="18"/>
      <c r="I18" s="18"/>
      <c r="J18" s="18"/>
      <c r="K18" s="18"/>
      <c r="L18" s="18"/>
      <c r="M18" s="18"/>
      <c r="N18" s="18"/>
      <c r="O18" s="18"/>
      <c r="P18" s="18"/>
      <c r="Q18" s="18"/>
      <c r="R18" s="18"/>
      <c r="S18" s="18"/>
      <c r="T18" s="18"/>
      <c r="U18" s="18">
        <v>600000</v>
      </c>
      <c r="V18" s="13"/>
      <c r="W18" s="13"/>
      <c r="X18" s="13"/>
      <c r="Y18" s="13"/>
    </row>
    <row r="19" spans="1:25" x14ac:dyDescent="0.25">
      <c r="A19" s="34" t="s">
        <v>831</v>
      </c>
      <c r="B19" s="18"/>
      <c r="C19" s="120"/>
      <c r="D19" s="121">
        <f t="shared" si="0"/>
        <v>0</v>
      </c>
      <c r="E19" s="18"/>
      <c r="F19" s="18"/>
      <c r="G19" s="18"/>
      <c r="H19" s="18"/>
      <c r="I19" s="18"/>
      <c r="J19" s="18"/>
      <c r="K19" s="18"/>
      <c r="L19" s="18"/>
      <c r="M19" s="18"/>
      <c r="N19" s="18"/>
      <c r="O19" s="18"/>
      <c r="P19" s="18">
        <v>3000</v>
      </c>
      <c r="Q19" s="18"/>
      <c r="R19" s="18"/>
      <c r="S19" s="18"/>
      <c r="T19" s="18"/>
      <c r="U19" s="18"/>
      <c r="V19" s="13"/>
      <c r="W19" s="13"/>
      <c r="X19" s="13"/>
      <c r="Y19" s="13"/>
    </row>
    <row r="20" spans="1:25" x14ac:dyDescent="0.25">
      <c r="A20" s="83" t="s">
        <v>906</v>
      </c>
      <c r="B20" s="18"/>
      <c r="C20" s="120"/>
      <c r="D20" s="121">
        <f t="shared" si="0"/>
        <v>0</v>
      </c>
      <c r="E20" s="18"/>
      <c r="F20" s="18"/>
      <c r="G20" s="18"/>
      <c r="H20" s="18"/>
      <c r="I20" s="18"/>
      <c r="J20" s="18"/>
      <c r="K20" s="18"/>
      <c r="L20" s="18"/>
      <c r="M20" s="18"/>
      <c r="N20" s="18"/>
      <c r="O20" s="18"/>
      <c r="P20" s="18">
        <v>10000</v>
      </c>
      <c r="Q20" s="18"/>
      <c r="R20" s="18"/>
      <c r="S20" s="18"/>
      <c r="T20" s="18">
        <v>50000</v>
      </c>
      <c r="U20" s="18">
        <v>30000</v>
      </c>
      <c r="V20" s="13"/>
      <c r="W20" s="13"/>
      <c r="X20" s="13"/>
      <c r="Y20" s="13"/>
    </row>
    <row r="21" spans="1:25" x14ac:dyDescent="0.25">
      <c r="A21" s="34" t="s">
        <v>1042</v>
      </c>
      <c r="B21" s="18"/>
      <c r="C21" s="120"/>
      <c r="D21" s="121">
        <f t="shared" si="0"/>
        <v>0</v>
      </c>
      <c r="E21" s="18"/>
      <c r="F21" s="18"/>
      <c r="G21" s="18"/>
      <c r="H21" s="18"/>
      <c r="I21" s="18"/>
      <c r="J21" s="18"/>
      <c r="K21" s="18"/>
      <c r="L21" s="18"/>
      <c r="M21" s="18"/>
      <c r="N21" s="18"/>
      <c r="O21" s="18"/>
      <c r="P21" s="18"/>
      <c r="Q21" s="18"/>
      <c r="R21" s="18"/>
      <c r="S21" s="18"/>
      <c r="T21" s="18"/>
      <c r="U21" s="18"/>
      <c r="V21" s="13">
        <f>2500000+100000</f>
        <v>2600000</v>
      </c>
      <c r="W21" s="13"/>
      <c r="X21" s="13">
        <v>4000000</v>
      </c>
      <c r="Y21" s="13">
        <v>4000000</v>
      </c>
    </row>
    <row r="22" spans="1:25" x14ac:dyDescent="0.25">
      <c r="A22" s="34" t="s">
        <v>829</v>
      </c>
      <c r="B22" s="18"/>
      <c r="C22" s="120"/>
      <c r="D22" s="121">
        <f t="shared" si="0"/>
        <v>0</v>
      </c>
      <c r="E22" s="18"/>
      <c r="F22" s="18"/>
      <c r="G22" s="18"/>
      <c r="H22" s="18"/>
      <c r="I22" s="18"/>
      <c r="J22" s="18"/>
      <c r="K22" s="18"/>
      <c r="L22" s="18"/>
      <c r="M22" s="18"/>
      <c r="N22" s="18"/>
      <c r="O22" s="18">
        <v>82200</v>
      </c>
      <c r="P22" s="18">
        <v>199720</v>
      </c>
      <c r="Q22" s="18">
        <v>364400</v>
      </c>
      <c r="R22" s="18"/>
      <c r="S22" s="18"/>
      <c r="T22" s="18">
        <v>500000</v>
      </c>
      <c r="U22" s="18">
        <v>2000000</v>
      </c>
      <c r="V22" s="13">
        <v>1152000</v>
      </c>
      <c r="W22" s="13"/>
      <c r="X22" s="13"/>
      <c r="Y22" s="13"/>
    </row>
    <row r="23" spans="1:25" x14ac:dyDescent="0.25">
      <c r="A23" s="34" t="s">
        <v>908</v>
      </c>
      <c r="B23" s="18"/>
      <c r="C23" s="120"/>
      <c r="D23" s="121">
        <f t="shared" si="0"/>
        <v>0</v>
      </c>
      <c r="E23" s="18"/>
      <c r="F23" s="18"/>
      <c r="G23" s="18"/>
      <c r="H23" s="18"/>
      <c r="I23" s="18"/>
      <c r="J23" s="18"/>
      <c r="K23" s="18"/>
      <c r="L23" s="18"/>
      <c r="M23" s="18"/>
      <c r="N23" s="18"/>
      <c r="O23" s="18">
        <v>96000</v>
      </c>
      <c r="P23" s="18">
        <v>204000</v>
      </c>
      <c r="Q23" s="18">
        <v>108000</v>
      </c>
      <c r="R23" s="18">
        <v>60000</v>
      </c>
      <c r="S23" s="18"/>
      <c r="T23" s="18">
        <f>300000+80000</f>
        <v>380000</v>
      </c>
      <c r="U23" s="18">
        <f>300000+200000</f>
        <v>500000</v>
      </c>
      <c r="V23" s="13">
        <v>432000</v>
      </c>
      <c r="W23" s="13"/>
      <c r="X23" s="13">
        <v>1000000</v>
      </c>
      <c r="Y23" s="13">
        <v>1000000</v>
      </c>
    </row>
    <row r="24" spans="1:25" x14ac:dyDescent="0.25">
      <c r="A24" s="34" t="s">
        <v>835</v>
      </c>
      <c r="B24" s="18"/>
      <c r="C24" s="120"/>
      <c r="D24" s="121">
        <f t="shared" si="0"/>
        <v>0</v>
      </c>
      <c r="E24" s="18"/>
      <c r="F24" s="18"/>
      <c r="G24" s="18"/>
      <c r="H24" s="18"/>
      <c r="I24" s="18"/>
      <c r="J24" s="18"/>
      <c r="K24" s="18"/>
      <c r="L24" s="18"/>
      <c r="M24" s="18"/>
      <c r="N24" s="18"/>
      <c r="O24" s="18"/>
      <c r="P24" s="18"/>
      <c r="Q24" s="18"/>
      <c r="R24" s="18"/>
      <c r="S24" s="18"/>
      <c r="T24" s="18"/>
      <c r="U24" s="18"/>
      <c r="V24" s="13"/>
      <c r="W24" s="13"/>
      <c r="X24" s="13">
        <v>100000</v>
      </c>
      <c r="Y24" s="13"/>
    </row>
    <row r="25" spans="1:25" x14ac:dyDescent="0.25">
      <c r="A25" s="34" t="s">
        <v>1029</v>
      </c>
      <c r="B25" s="18"/>
      <c r="C25" s="120"/>
      <c r="D25" s="121">
        <f t="shared" si="0"/>
        <v>0</v>
      </c>
      <c r="E25" s="18"/>
      <c r="F25" s="18"/>
      <c r="G25" s="18"/>
      <c r="H25" s="18"/>
      <c r="I25" s="18"/>
      <c r="J25" s="18"/>
      <c r="K25" s="18"/>
      <c r="L25" s="18"/>
      <c r="M25" s="18"/>
      <c r="N25" s="18"/>
      <c r="O25" s="18"/>
      <c r="P25" s="18"/>
      <c r="Q25" s="18"/>
      <c r="R25" s="18"/>
      <c r="S25" s="18"/>
      <c r="T25" s="18"/>
      <c r="U25" s="18"/>
      <c r="V25" s="13">
        <v>150000</v>
      </c>
      <c r="W25" s="13"/>
      <c r="X25" s="13">
        <v>200000</v>
      </c>
      <c r="Y25" s="13">
        <v>200000</v>
      </c>
    </row>
    <row r="26" spans="1:25" x14ac:dyDescent="0.25">
      <c r="A26" s="34" t="s">
        <v>830</v>
      </c>
      <c r="B26" s="18"/>
      <c r="C26" s="120"/>
      <c r="D26" s="121">
        <f t="shared" si="0"/>
        <v>0</v>
      </c>
      <c r="E26" s="18"/>
      <c r="F26" s="18"/>
      <c r="G26" s="18"/>
      <c r="H26" s="18"/>
      <c r="I26" s="18"/>
      <c r="J26" s="18"/>
      <c r="K26" s="18"/>
      <c r="L26" s="18"/>
      <c r="M26" s="18"/>
      <c r="N26" s="18"/>
      <c r="O26" s="18"/>
      <c r="P26" s="18"/>
      <c r="Q26" s="18"/>
      <c r="R26" s="18"/>
      <c r="S26" s="18"/>
      <c r="T26" s="18"/>
      <c r="U26" s="18"/>
      <c r="V26" s="13">
        <v>80000</v>
      </c>
      <c r="W26" s="13"/>
      <c r="X26" s="13">
        <v>100000</v>
      </c>
      <c r="Y26" s="13">
        <v>300000</v>
      </c>
    </row>
    <row r="27" spans="1:25" x14ac:dyDescent="0.25">
      <c r="A27" s="105" t="s">
        <v>1374</v>
      </c>
      <c r="B27" s="18"/>
      <c r="C27" s="120"/>
      <c r="D27" s="121">
        <f t="shared" si="0"/>
        <v>0</v>
      </c>
      <c r="E27" s="18"/>
      <c r="F27" s="18">
        <v>64000</v>
      </c>
      <c r="G27" s="18"/>
      <c r="H27" s="18">
        <v>64000</v>
      </c>
      <c r="I27" s="18"/>
      <c r="J27" s="18"/>
      <c r="K27" s="18"/>
      <c r="L27" s="18"/>
      <c r="M27" s="18"/>
      <c r="N27" s="18"/>
      <c r="O27" s="18">
        <v>16000</v>
      </c>
      <c r="P27" s="18"/>
      <c r="Q27" s="18">
        <v>64000</v>
      </c>
      <c r="R27" s="18"/>
      <c r="S27" s="18"/>
      <c r="T27" s="18"/>
      <c r="U27" s="18"/>
      <c r="V27" s="13">
        <v>160000</v>
      </c>
      <c r="W27" s="13"/>
      <c r="X27" s="13">
        <v>200000</v>
      </c>
      <c r="Y27" s="13">
        <v>360000</v>
      </c>
    </row>
    <row r="28" spans="1:25" x14ac:dyDescent="0.25">
      <c r="A28" s="34" t="s">
        <v>832</v>
      </c>
      <c r="B28" s="18"/>
      <c r="C28" s="120"/>
      <c r="D28" s="121">
        <f t="shared" si="0"/>
        <v>0</v>
      </c>
      <c r="E28" s="18"/>
      <c r="F28" s="18"/>
      <c r="G28" s="18"/>
      <c r="H28" s="18"/>
      <c r="I28" s="18"/>
      <c r="J28" s="18"/>
      <c r="K28" s="18"/>
      <c r="L28" s="18"/>
      <c r="M28" s="18"/>
      <c r="N28" s="18"/>
      <c r="O28" s="18">
        <v>10000</v>
      </c>
      <c r="P28" s="18">
        <v>10000</v>
      </c>
      <c r="Q28" s="18">
        <v>50000</v>
      </c>
      <c r="R28" s="18">
        <v>20000</v>
      </c>
      <c r="S28" s="18"/>
      <c r="T28" s="18">
        <v>60000</v>
      </c>
      <c r="U28" s="18">
        <v>60000</v>
      </c>
      <c r="V28" s="13">
        <v>90000</v>
      </c>
      <c r="W28" s="13"/>
      <c r="X28" s="13">
        <v>90000</v>
      </c>
      <c r="Y28" s="13">
        <v>120000</v>
      </c>
    </row>
    <row r="29" spans="1:25" x14ac:dyDescent="0.25">
      <c r="A29" s="75" t="s">
        <v>602</v>
      </c>
      <c r="B29" s="18"/>
      <c r="C29" s="120"/>
      <c r="D29" s="121">
        <f t="shared" si="0"/>
        <v>0</v>
      </c>
      <c r="E29" s="18"/>
      <c r="F29" s="18"/>
      <c r="G29" s="18"/>
      <c r="H29" s="18"/>
      <c r="I29" s="18"/>
      <c r="J29" s="18"/>
      <c r="K29" s="18"/>
      <c r="L29" s="18"/>
      <c r="M29" s="18"/>
      <c r="N29" s="18"/>
      <c r="O29" s="18">
        <v>30000</v>
      </c>
      <c r="P29" s="18"/>
      <c r="Q29" s="18">
        <v>30000</v>
      </c>
      <c r="R29" s="18"/>
      <c r="S29" s="18"/>
      <c r="T29" s="18">
        <v>50000</v>
      </c>
      <c r="U29" s="18">
        <v>50000</v>
      </c>
      <c r="V29" s="13">
        <v>25000</v>
      </c>
      <c r="W29" s="13"/>
      <c r="X29" s="13">
        <v>100000</v>
      </c>
      <c r="Y29" s="13">
        <v>200000</v>
      </c>
    </row>
    <row r="30" spans="1:25" x14ac:dyDescent="0.25">
      <c r="A30" s="34" t="s">
        <v>679</v>
      </c>
      <c r="B30" s="18"/>
      <c r="C30" s="120"/>
      <c r="D30" s="121">
        <f t="shared" si="0"/>
        <v>0</v>
      </c>
      <c r="E30" s="18"/>
      <c r="F30" s="18"/>
      <c r="G30" s="18"/>
      <c r="H30" s="18"/>
      <c r="I30" s="18"/>
      <c r="J30" s="18"/>
      <c r="K30" s="18"/>
      <c r="L30" s="18"/>
      <c r="M30" s="18"/>
      <c r="N30" s="18"/>
      <c r="O30" s="18"/>
      <c r="P30" s="18"/>
      <c r="Q30" s="18"/>
      <c r="R30" s="18"/>
      <c r="S30" s="18"/>
      <c r="T30" s="18"/>
      <c r="U30" s="18"/>
      <c r="V30" s="13"/>
      <c r="W30" s="13"/>
      <c r="X30" s="13"/>
      <c r="Y30" s="13"/>
    </row>
    <row r="31" spans="1:25" x14ac:dyDescent="0.25">
      <c r="A31" s="153" t="s">
        <v>1073</v>
      </c>
      <c r="B31" s="18"/>
      <c r="C31" s="120"/>
      <c r="D31" s="121">
        <f t="shared" si="0"/>
        <v>0</v>
      </c>
      <c r="E31" s="18"/>
      <c r="F31" s="18"/>
      <c r="G31" s="18"/>
      <c r="H31" s="18"/>
      <c r="I31" s="18"/>
      <c r="J31" s="18"/>
      <c r="K31" s="18"/>
      <c r="L31" s="18"/>
      <c r="M31" s="18"/>
      <c r="N31" s="18"/>
      <c r="O31" s="18">
        <v>20000</v>
      </c>
      <c r="P31" s="18"/>
      <c r="Q31" s="18"/>
      <c r="R31" s="18"/>
      <c r="S31" s="18"/>
      <c r="T31" s="18">
        <f>60000+100000</f>
        <v>160000</v>
      </c>
      <c r="U31" s="18">
        <f>60000+100000</f>
        <v>160000</v>
      </c>
      <c r="V31" s="13">
        <v>120000</v>
      </c>
      <c r="W31" s="13"/>
      <c r="X31" s="13">
        <v>80000</v>
      </c>
      <c r="Y31" s="13">
        <v>100000</v>
      </c>
    </row>
    <row r="32" spans="1:25" x14ac:dyDescent="0.25">
      <c r="A32" s="153" t="s">
        <v>824</v>
      </c>
      <c r="B32" s="18"/>
      <c r="C32" s="120"/>
      <c r="D32" s="121">
        <f t="shared" si="0"/>
        <v>0</v>
      </c>
      <c r="E32" s="18"/>
      <c r="F32" s="18"/>
      <c r="G32" s="18"/>
      <c r="H32" s="18"/>
      <c r="I32" s="18"/>
      <c r="J32" s="18"/>
      <c r="K32" s="18"/>
      <c r="L32" s="18"/>
      <c r="M32" s="18"/>
      <c r="N32" s="18"/>
      <c r="O32" s="18"/>
      <c r="P32" s="18"/>
      <c r="Q32" s="18"/>
      <c r="R32" s="18"/>
      <c r="S32" s="18"/>
      <c r="T32" s="18"/>
      <c r="U32" s="18"/>
      <c r="V32" s="13">
        <f>30000+10000</f>
        <v>40000</v>
      </c>
      <c r="W32" s="13"/>
      <c r="X32" s="13">
        <v>40000</v>
      </c>
      <c r="Y32" s="13">
        <v>30000</v>
      </c>
    </row>
    <row r="33" spans="1:25" x14ac:dyDescent="0.25">
      <c r="A33" s="34" t="s">
        <v>1043</v>
      </c>
      <c r="B33" s="18"/>
      <c r="C33" s="120"/>
      <c r="D33" s="121">
        <f t="shared" si="0"/>
        <v>0</v>
      </c>
      <c r="E33" s="18"/>
      <c r="F33" s="18"/>
      <c r="G33" s="18"/>
      <c r="H33" s="18"/>
      <c r="I33" s="18"/>
      <c r="J33" s="18"/>
      <c r="K33" s="18"/>
      <c r="L33" s="18"/>
      <c r="M33" s="18"/>
      <c r="N33" s="18"/>
      <c r="O33" s="18"/>
      <c r="P33" s="18"/>
      <c r="Q33" s="18">
        <v>60000</v>
      </c>
      <c r="R33" s="18"/>
      <c r="S33" s="18"/>
      <c r="T33" s="18"/>
      <c r="U33" s="18"/>
      <c r="V33" s="13"/>
      <c r="W33" s="13"/>
      <c r="X33" s="13"/>
      <c r="Y33" s="13"/>
    </row>
    <row r="34" spans="1:25" x14ac:dyDescent="0.25">
      <c r="A34" s="34" t="s">
        <v>833</v>
      </c>
      <c r="B34" s="18"/>
      <c r="C34" s="120"/>
      <c r="D34" s="121">
        <f t="shared" si="0"/>
        <v>0</v>
      </c>
      <c r="E34" s="18"/>
      <c r="F34" s="18"/>
      <c r="G34" s="18"/>
      <c r="H34" s="18"/>
      <c r="I34" s="18"/>
      <c r="J34" s="18"/>
      <c r="K34" s="18"/>
      <c r="L34" s="18"/>
      <c r="M34" s="18"/>
      <c r="N34" s="18"/>
      <c r="O34" s="18"/>
      <c r="P34" s="18"/>
      <c r="Q34" s="18"/>
      <c r="R34" s="18"/>
      <c r="S34" s="18"/>
      <c r="T34" s="18">
        <v>3000000</v>
      </c>
      <c r="U34" s="18">
        <v>5540000</v>
      </c>
      <c r="V34" s="13">
        <v>4500000</v>
      </c>
      <c r="W34" s="13"/>
      <c r="X34" s="13">
        <v>6000000</v>
      </c>
      <c r="Y34" s="13">
        <v>5600000</v>
      </c>
    </row>
    <row r="35" spans="1:25" x14ac:dyDescent="0.25">
      <c r="A35" s="34" t="s">
        <v>277</v>
      </c>
      <c r="B35" s="18"/>
      <c r="C35" s="120"/>
      <c r="D35" s="121">
        <f t="shared" si="0"/>
        <v>0</v>
      </c>
      <c r="E35" s="18"/>
      <c r="F35" s="18"/>
      <c r="G35" s="18"/>
      <c r="H35" s="18"/>
      <c r="I35" s="18"/>
      <c r="J35" s="18"/>
      <c r="K35" s="18"/>
      <c r="L35" s="18"/>
      <c r="M35" s="18"/>
      <c r="N35" s="18"/>
      <c r="O35" s="18"/>
      <c r="P35" s="18"/>
      <c r="Q35" s="18"/>
      <c r="R35" s="18"/>
      <c r="S35" s="18"/>
      <c r="T35" s="18"/>
      <c r="U35" s="18"/>
      <c r="V35" s="13">
        <f>600000</f>
        <v>600000</v>
      </c>
      <c r="W35" s="13"/>
      <c r="X35" s="13">
        <v>600000</v>
      </c>
      <c r="Y35" s="13">
        <v>600000</v>
      </c>
    </row>
    <row r="36" spans="1:25" ht="30" x14ac:dyDescent="0.25">
      <c r="A36" s="34" t="s">
        <v>1044</v>
      </c>
      <c r="B36" s="18">
        <v>48000</v>
      </c>
      <c r="C36" s="120">
        <v>28000</v>
      </c>
      <c r="D36" s="121">
        <f t="shared" si="0"/>
        <v>76000</v>
      </c>
      <c r="E36" s="18">
        <v>209000</v>
      </c>
      <c r="F36" s="18">
        <v>159000</v>
      </c>
      <c r="G36" s="18">
        <v>209000</v>
      </c>
      <c r="H36" s="18">
        <v>159000</v>
      </c>
      <c r="I36" s="18"/>
      <c r="J36" s="18"/>
      <c r="K36" s="18"/>
      <c r="L36" s="18"/>
      <c r="M36" s="18"/>
      <c r="N36" s="18"/>
      <c r="O36" s="18">
        <v>887000</v>
      </c>
      <c r="P36" s="18">
        <v>1106000</v>
      </c>
      <c r="Q36" s="18">
        <v>990000</v>
      </c>
      <c r="R36" s="18">
        <v>1375040</v>
      </c>
      <c r="S36" s="18"/>
      <c r="T36" s="18"/>
      <c r="U36" s="18"/>
      <c r="V36" s="13"/>
      <c r="W36" s="13"/>
      <c r="X36" s="13"/>
      <c r="Y36" s="13"/>
    </row>
    <row r="37" spans="1:25" x14ac:dyDescent="0.25">
      <c r="A37" s="75" t="s">
        <v>834</v>
      </c>
      <c r="B37" s="18">
        <v>32000</v>
      </c>
      <c r="C37" s="120">
        <v>51200</v>
      </c>
      <c r="D37" s="121">
        <f t="shared" si="0"/>
        <v>83200</v>
      </c>
      <c r="E37" s="18">
        <v>83200</v>
      </c>
      <c r="F37" s="18">
        <v>115200</v>
      </c>
      <c r="G37" s="18">
        <v>83200</v>
      </c>
      <c r="H37" s="18">
        <v>115200</v>
      </c>
      <c r="I37" s="18"/>
      <c r="J37" s="18"/>
      <c r="K37" s="18"/>
      <c r="L37" s="18"/>
      <c r="M37" s="18"/>
      <c r="N37" s="18"/>
      <c r="O37" s="18"/>
      <c r="P37" s="18"/>
      <c r="Q37" s="18"/>
      <c r="R37" s="18">
        <v>308000</v>
      </c>
      <c r="S37" s="18"/>
      <c r="T37" s="18">
        <v>301000</v>
      </c>
      <c r="U37" s="18">
        <v>720000</v>
      </c>
      <c r="V37" s="13">
        <v>512000</v>
      </c>
      <c r="W37" s="13"/>
      <c r="X37" s="13">
        <v>640000</v>
      </c>
      <c r="Y37" s="13">
        <v>576000</v>
      </c>
    </row>
    <row r="38" spans="1:25" x14ac:dyDescent="0.25">
      <c r="A38" s="34" t="s">
        <v>286</v>
      </c>
      <c r="B38" s="18"/>
      <c r="C38" s="120"/>
      <c r="D38" s="121">
        <f t="shared" si="0"/>
        <v>0</v>
      </c>
      <c r="E38" s="18"/>
      <c r="F38" s="18"/>
      <c r="G38" s="18"/>
      <c r="H38" s="18"/>
      <c r="I38" s="18"/>
      <c r="J38" s="18"/>
      <c r="K38" s="18"/>
      <c r="L38" s="18"/>
      <c r="M38" s="18"/>
      <c r="N38" s="18"/>
      <c r="O38" s="18"/>
      <c r="P38" s="18"/>
      <c r="Q38" s="18"/>
      <c r="R38" s="18"/>
      <c r="S38" s="18"/>
      <c r="T38" s="18">
        <v>180000</v>
      </c>
      <c r="U38" s="18">
        <v>180000</v>
      </c>
      <c r="V38" s="13">
        <v>140000</v>
      </c>
      <c r="W38" s="13"/>
      <c r="X38" s="13">
        <v>160000</v>
      </c>
      <c r="Y38" s="13">
        <v>180000</v>
      </c>
    </row>
    <row r="39" spans="1:25" x14ac:dyDescent="0.25">
      <c r="A39" s="34" t="s">
        <v>780</v>
      </c>
      <c r="B39" s="18"/>
      <c r="C39" s="120">
        <v>71100</v>
      </c>
      <c r="D39" s="121">
        <f t="shared" si="0"/>
        <v>71100</v>
      </c>
      <c r="E39" s="18">
        <v>50000</v>
      </c>
      <c r="F39" s="18"/>
      <c r="G39" s="18">
        <v>50000</v>
      </c>
      <c r="H39" s="18">
        <v>50000</v>
      </c>
      <c r="I39" s="18"/>
      <c r="J39" s="18"/>
      <c r="K39" s="18"/>
      <c r="L39" s="18"/>
      <c r="M39" s="18"/>
      <c r="N39" s="18"/>
      <c r="O39" s="18"/>
      <c r="P39" s="18"/>
      <c r="Q39" s="18"/>
      <c r="R39" s="18"/>
      <c r="S39" s="18"/>
      <c r="T39" s="18"/>
      <c r="U39" s="18"/>
      <c r="V39" s="13"/>
      <c r="W39" s="13"/>
      <c r="X39" s="13"/>
      <c r="Y39" s="13"/>
    </row>
    <row r="40" spans="1:25" x14ac:dyDescent="0.25">
      <c r="A40" s="35" t="s">
        <v>836</v>
      </c>
      <c r="B40" s="18">
        <v>4000</v>
      </c>
      <c r="C40" s="120">
        <v>16000</v>
      </c>
      <c r="D40" s="121">
        <f t="shared" si="0"/>
        <v>20000</v>
      </c>
      <c r="E40" s="18">
        <v>24400</v>
      </c>
      <c r="F40" s="18">
        <v>26400</v>
      </c>
      <c r="G40" s="18">
        <v>24400</v>
      </c>
      <c r="H40" s="18">
        <v>26400</v>
      </c>
      <c r="I40" s="18"/>
      <c r="J40" s="18"/>
      <c r="K40" s="18"/>
      <c r="L40" s="18"/>
      <c r="M40" s="18"/>
      <c r="N40" s="18"/>
      <c r="O40" s="18"/>
      <c r="P40" s="18"/>
      <c r="Q40" s="18"/>
      <c r="R40" s="18"/>
      <c r="S40" s="18"/>
      <c r="T40" s="18"/>
      <c r="U40" s="18"/>
      <c r="V40" s="13">
        <f>600000</f>
        <v>600000</v>
      </c>
      <c r="W40" s="13"/>
      <c r="X40" s="13">
        <f>1400000+600000</f>
        <v>2000000</v>
      </c>
      <c r="Y40" s="13">
        <f>1440000+670000</f>
        <v>2110000</v>
      </c>
    </row>
    <row r="41" spans="1:25" x14ac:dyDescent="0.25">
      <c r="A41" s="154" t="s">
        <v>1074</v>
      </c>
      <c r="B41" s="18"/>
      <c r="C41" s="120"/>
      <c r="D41" s="121">
        <f t="shared" si="0"/>
        <v>0</v>
      </c>
      <c r="E41" s="18"/>
      <c r="F41" s="18"/>
      <c r="G41" s="18"/>
      <c r="H41" s="18"/>
      <c r="I41" s="18"/>
      <c r="J41" s="18"/>
      <c r="K41" s="18"/>
      <c r="L41" s="18"/>
      <c r="M41" s="18"/>
      <c r="N41" s="18"/>
      <c r="O41" s="18"/>
      <c r="P41" s="18"/>
      <c r="Q41" s="18"/>
      <c r="R41" s="18"/>
      <c r="S41" s="18"/>
      <c r="T41" s="18"/>
      <c r="U41" s="18"/>
      <c r="V41" s="13">
        <v>20000</v>
      </c>
      <c r="W41" s="13"/>
      <c r="X41" s="13">
        <v>20000</v>
      </c>
      <c r="Y41" s="13"/>
    </row>
    <row r="42" spans="1:25" x14ac:dyDescent="0.25">
      <c r="A42" s="34" t="s">
        <v>288</v>
      </c>
      <c r="B42" s="18"/>
      <c r="C42" s="120"/>
      <c r="D42" s="121">
        <f t="shared" si="0"/>
        <v>0</v>
      </c>
      <c r="E42" s="18"/>
      <c r="F42" s="18"/>
      <c r="G42" s="18"/>
      <c r="H42" s="18"/>
      <c r="I42" s="18"/>
      <c r="J42" s="18"/>
      <c r="K42" s="18"/>
      <c r="L42" s="18"/>
      <c r="M42" s="18"/>
      <c r="N42" s="18"/>
      <c r="O42" s="18"/>
      <c r="P42" s="18"/>
      <c r="Q42" s="18"/>
      <c r="R42" s="18"/>
      <c r="S42" s="18"/>
      <c r="T42" s="18"/>
      <c r="U42" s="18"/>
      <c r="V42" s="13">
        <v>100000</v>
      </c>
      <c r="W42" s="13"/>
      <c r="X42" s="13">
        <v>100000</v>
      </c>
      <c r="Y42" s="13">
        <v>150000</v>
      </c>
    </row>
    <row r="43" spans="1:25" x14ac:dyDescent="0.25">
      <c r="A43" s="34"/>
      <c r="B43" s="18"/>
      <c r="C43" s="120"/>
      <c r="D43" s="121">
        <f t="shared" si="0"/>
        <v>0</v>
      </c>
      <c r="E43" s="18"/>
      <c r="F43" s="18"/>
      <c r="G43" s="18"/>
      <c r="H43" s="18"/>
      <c r="I43" s="18"/>
      <c r="J43" s="18"/>
      <c r="K43" s="18"/>
      <c r="L43" s="18"/>
      <c r="M43" s="18"/>
      <c r="N43" s="18"/>
      <c r="O43" s="18"/>
      <c r="P43" s="18"/>
      <c r="Q43" s="18"/>
      <c r="R43" s="18"/>
      <c r="S43" s="18"/>
      <c r="T43" s="18"/>
      <c r="U43" s="18"/>
      <c r="V43" s="13"/>
      <c r="W43" s="13"/>
      <c r="X43" s="13"/>
      <c r="Y43" s="13"/>
    </row>
    <row r="44" spans="1:25" x14ac:dyDescent="0.25">
      <c r="A44" s="34"/>
      <c r="B44" s="18"/>
      <c r="C44" s="120"/>
      <c r="D44" s="121">
        <f t="shared" ref="D44:D53" si="1">C44+B44</f>
        <v>0</v>
      </c>
      <c r="E44" s="18"/>
      <c r="F44" s="18"/>
      <c r="G44" s="18"/>
      <c r="H44" s="18"/>
      <c r="I44" s="18"/>
      <c r="J44" s="18"/>
      <c r="K44" s="18"/>
      <c r="L44" s="18"/>
      <c r="M44" s="18"/>
      <c r="N44" s="18"/>
      <c r="O44" s="18"/>
      <c r="P44" s="18"/>
      <c r="Q44" s="18"/>
      <c r="R44" s="18"/>
      <c r="S44" s="18"/>
      <c r="T44" s="18"/>
      <c r="U44" s="18"/>
      <c r="V44" s="13"/>
      <c r="W44" s="13"/>
      <c r="X44" s="13"/>
      <c r="Y44" s="13"/>
    </row>
    <row r="45" spans="1:25" x14ac:dyDescent="0.25">
      <c r="A45" s="34" t="s">
        <v>837</v>
      </c>
      <c r="B45" s="18"/>
      <c r="C45" s="120"/>
      <c r="D45" s="121">
        <f t="shared" si="1"/>
        <v>0</v>
      </c>
      <c r="E45" s="18"/>
      <c r="F45" s="18"/>
      <c r="G45" s="18"/>
      <c r="H45" s="18"/>
      <c r="I45" s="18"/>
      <c r="J45" s="18"/>
      <c r="K45" s="18"/>
      <c r="L45" s="18"/>
      <c r="M45" s="18"/>
      <c r="N45" s="18"/>
      <c r="O45" s="18">
        <v>50000</v>
      </c>
      <c r="P45" s="18">
        <v>380000</v>
      </c>
      <c r="Q45" s="18"/>
      <c r="R45" s="18">
        <v>180000</v>
      </c>
      <c r="S45" s="18"/>
      <c r="T45" s="18">
        <v>300000</v>
      </c>
      <c r="U45" s="18">
        <v>600000</v>
      </c>
      <c r="V45" s="13">
        <v>700000</v>
      </c>
      <c r="W45" s="13"/>
      <c r="X45" s="13">
        <v>200000</v>
      </c>
      <c r="Y45" s="13">
        <v>200000</v>
      </c>
    </row>
    <row r="46" spans="1:25" x14ac:dyDescent="0.25">
      <c r="A46" s="34" t="s">
        <v>838</v>
      </c>
      <c r="B46" s="18"/>
      <c r="C46" s="120">
        <v>10000</v>
      </c>
      <c r="D46" s="121">
        <f t="shared" si="1"/>
        <v>10000</v>
      </c>
      <c r="E46" s="18">
        <v>20000</v>
      </c>
      <c r="F46" s="18">
        <v>188000</v>
      </c>
      <c r="G46" s="18">
        <v>100000</v>
      </c>
      <c r="H46" s="18">
        <v>188000</v>
      </c>
      <c r="I46" s="18"/>
      <c r="J46" s="18"/>
      <c r="K46" s="18"/>
      <c r="L46" s="18"/>
      <c r="M46" s="18"/>
      <c r="N46" s="18"/>
      <c r="O46" s="18">
        <v>16000</v>
      </c>
      <c r="P46" s="18">
        <v>164000</v>
      </c>
      <c r="Q46" s="18"/>
      <c r="R46" s="18"/>
      <c r="S46" s="18"/>
      <c r="T46" s="18">
        <v>300000</v>
      </c>
      <c r="U46" s="18">
        <v>300000</v>
      </c>
      <c r="V46" s="13"/>
      <c r="W46" s="13"/>
      <c r="X46" s="13">
        <v>200000</v>
      </c>
      <c r="Y46" s="13">
        <v>200000</v>
      </c>
    </row>
    <row r="47" spans="1:25" x14ac:dyDescent="0.25">
      <c r="A47" s="34"/>
      <c r="B47" s="18"/>
      <c r="C47" s="120"/>
      <c r="D47" s="121">
        <f t="shared" si="1"/>
        <v>0</v>
      </c>
      <c r="E47" s="18"/>
      <c r="F47" s="18"/>
      <c r="G47" s="18"/>
      <c r="H47" s="18"/>
      <c r="I47" s="18"/>
      <c r="J47" s="18"/>
      <c r="K47" s="18"/>
      <c r="L47" s="18"/>
      <c r="M47" s="18"/>
      <c r="N47" s="18"/>
      <c r="O47" s="18"/>
      <c r="P47" s="18"/>
      <c r="Q47" s="18"/>
      <c r="R47" s="18"/>
      <c r="S47" s="18"/>
      <c r="T47" s="18"/>
      <c r="U47" s="18"/>
      <c r="V47" s="13"/>
      <c r="W47" s="13"/>
      <c r="X47" s="13"/>
      <c r="Y47" s="13"/>
    </row>
    <row r="48" spans="1:25" x14ac:dyDescent="0.25">
      <c r="A48" s="34" t="s">
        <v>990</v>
      </c>
      <c r="B48" s="18"/>
      <c r="C48" s="120"/>
      <c r="D48" s="121">
        <f t="shared" si="1"/>
        <v>0</v>
      </c>
      <c r="E48" s="18"/>
      <c r="F48" s="18"/>
      <c r="G48" s="18"/>
      <c r="H48" s="18"/>
      <c r="I48" s="18"/>
      <c r="J48" s="18"/>
      <c r="K48" s="18"/>
      <c r="L48" s="18"/>
      <c r="M48" s="18"/>
      <c r="N48" s="18"/>
      <c r="O48" s="18"/>
      <c r="P48" s="18"/>
      <c r="Q48" s="18"/>
      <c r="R48" s="18"/>
      <c r="S48" s="18"/>
      <c r="T48" s="18"/>
      <c r="U48" s="18"/>
      <c r="V48" s="13">
        <v>800000</v>
      </c>
      <c r="W48" s="13"/>
      <c r="X48" s="13">
        <v>800000</v>
      </c>
      <c r="Y48" s="13">
        <v>1000000</v>
      </c>
    </row>
    <row r="49" spans="1:25" x14ac:dyDescent="0.25">
      <c r="A49" s="34" t="s">
        <v>935</v>
      </c>
      <c r="B49" s="18"/>
      <c r="C49" s="120"/>
      <c r="D49" s="121">
        <f t="shared" si="1"/>
        <v>0</v>
      </c>
      <c r="E49" s="18"/>
      <c r="F49" s="18"/>
      <c r="G49" s="18"/>
      <c r="H49" s="18"/>
      <c r="I49" s="18"/>
      <c r="J49" s="18"/>
      <c r="K49" s="18"/>
      <c r="L49" s="18"/>
      <c r="M49" s="18"/>
      <c r="N49" s="18"/>
      <c r="O49" s="18"/>
      <c r="P49" s="18"/>
      <c r="Q49" s="18"/>
      <c r="R49" s="18"/>
      <c r="S49" s="18"/>
      <c r="T49" s="18"/>
      <c r="U49" s="18"/>
      <c r="V49" s="13">
        <v>360000</v>
      </c>
      <c r="W49" s="13"/>
      <c r="X49" s="13"/>
      <c r="Y49" s="13"/>
    </row>
    <row r="50" spans="1:25" x14ac:dyDescent="0.25">
      <c r="A50" s="34"/>
      <c r="B50" s="18"/>
      <c r="C50" s="120"/>
      <c r="D50" s="121">
        <f t="shared" si="1"/>
        <v>0</v>
      </c>
      <c r="E50" s="18"/>
      <c r="F50" s="18"/>
      <c r="G50" s="18"/>
      <c r="H50" s="18"/>
      <c r="I50" s="18"/>
      <c r="J50" s="18"/>
      <c r="K50" s="18"/>
      <c r="L50" s="18"/>
      <c r="M50" s="18"/>
      <c r="N50" s="18"/>
      <c r="O50" s="18"/>
      <c r="P50" s="18"/>
      <c r="Q50" s="18"/>
      <c r="R50" s="18"/>
      <c r="S50" s="18"/>
      <c r="T50" s="18"/>
      <c r="U50" s="18"/>
      <c r="V50" s="13"/>
      <c r="W50" s="13"/>
      <c r="X50" s="13"/>
      <c r="Y50" s="13"/>
    </row>
    <row r="51" spans="1:25" x14ac:dyDescent="0.25">
      <c r="A51" s="34" t="s">
        <v>588</v>
      </c>
      <c r="B51" s="18"/>
      <c r="C51" s="120"/>
      <c r="D51" s="121">
        <f t="shared" si="1"/>
        <v>0</v>
      </c>
      <c r="E51" s="18">
        <v>100000</v>
      </c>
      <c r="F51" s="18">
        <v>200000</v>
      </c>
      <c r="G51" s="18">
        <v>805000</v>
      </c>
      <c r="H51" s="18">
        <v>605000</v>
      </c>
      <c r="I51" s="18"/>
      <c r="J51" s="18"/>
      <c r="K51" s="18"/>
      <c r="L51" s="18"/>
      <c r="M51" s="18"/>
      <c r="N51" s="18"/>
      <c r="O51" s="18"/>
      <c r="P51" s="18">
        <v>121000</v>
      </c>
      <c r="Q51" s="18"/>
      <c r="R51" s="18"/>
      <c r="S51" s="18"/>
      <c r="T51" s="13"/>
      <c r="U51" s="13"/>
      <c r="V51" s="13"/>
      <c r="W51" s="13"/>
      <c r="X51" s="13"/>
      <c r="Y51" s="13"/>
    </row>
    <row r="52" spans="1:25" x14ac:dyDescent="0.25">
      <c r="A52" s="34" t="s">
        <v>855</v>
      </c>
      <c r="B52" s="18"/>
      <c r="C52" s="120"/>
      <c r="D52" s="121"/>
      <c r="E52" s="18"/>
      <c r="F52" s="18"/>
      <c r="G52" s="18"/>
      <c r="H52" s="18"/>
      <c r="I52" s="18"/>
      <c r="J52" s="18"/>
      <c r="K52" s="18"/>
      <c r="L52" s="18"/>
      <c r="M52" s="18"/>
      <c r="N52" s="18"/>
      <c r="O52" s="18"/>
      <c r="P52" s="18"/>
      <c r="Q52" s="18"/>
      <c r="R52" s="18"/>
      <c r="S52" s="18"/>
      <c r="T52" s="13"/>
      <c r="U52" s="13"/>
      <c r="V52" s="13"/>
      <c r="W52" s="13">
        <f>10067800+2804050+3648300+3257500</f>
        <v>19777650</v>
      </c>
      <c r="X52" s="13"/>
      <c r="Y52" s="13"/>
    </row>
    <row r="53" spans="1:25" x14ac:dyDescent="0.25">
      <c r="A53" s="82"/>
      <c r="B53" s="18"/>
      <c r="C53" s="120"/>
      <c r="D53" s="121">
        <f t="shared" si="1"/>
        <v>0</v>
      </c>
      <c r="E53" s="18"/>
      <c r="F53" s="18"/>
      <c r="G53" s="18"/>
      <c r="H53" s="18"/>
      <c r="I53" s="18"/>
      <c r="J53" s="18"/>
      <c r="K53" s="18"/>
      <c r="L53" s="18"/>
      <c r="M53" s="18"/>
      <c r="N53" s="18"/>
      <c r="O53" s="18"/>
      <c r="P53" s="18"/>
      <c r="Q53" s="18"/>
      <c r="R53" s="18"/>
      <c r="S53" s="18"/>
      <c r="T53" s="18"/>
      <c r="U53" s="18"/>
      <c r="V53" s="13"/>
      <c r="W53" s="13"/>
      <c r="X53" s="13"/>
      <c r="Y53" s="13"/>
    </row>
    <row r="54" spans="1:25" x14ac:dyDescent="0.25">
      <c r="A54" s="89" t="s">
        <v>83</v>
      </c>
      <c r="B54" s="30">
        <f t="shared" ref="B54:H54" si="2">SUM(B8:B51)</f>
        <v>229000</v>
      </c>
      <c r="C54" s="122">
        <f t="shared" si="2"/>
        <v>476820</v>
      </c>
      <c r="D54" s="122">
        <f t="shared" si="2"/>
        <v>705820</v>
      </c>
      <c r="E54" s="30">
        <f t="shared" si="2"/>
        <v>981120</v>
      </c>
      <c r="F54" s="30">
        <f t="shared" si="2"/>
        <v>1213846</v>
      </c>
      <c r="G54" s="30">
        <f t="shared" si="2"/>
        <v>1671646</v>
      </c>
      <c r="H54" s="30">
        <f t="shared" si="2"/>
        <v>1623471</v>
      </c>
      <c r="I54" s="30"/>
      <c r="J54" s="30"/>
      <c r="K54" s="30"/>
      <c r="L54" s="30"/>
      <c r="M54" s="30"/>
      <c r="N54" s="30"/>
      <c r="O54" s="30">
        <f t="shared" ref="O54:V54" si="3">SUM(O8:O51)</f>
        <v>1712700</v>
      </c>
      <c r="P54" s="30">
        <f t="shared" si="3"/>
        <v>2567320</v>
      </c>
      <c r="Q54" s="28">
        <f t="shared" si="3"/>
        <v>2016800</v>
      </c>
      <c r="R54" s="28">
        <f t="shared" si="3"/>
        <v>2295140</v>
      </c>
      <c r="S54" s="28">
        <f t="shared" si="3"/>
        <v>0</v>
      </c>
      <c r="T54" s="28">
        <f t="shared" si="3"/>
        <v>5491000</v>
      </c>
      <c r="U54" s="28">
        <f t="shared" si="3"/>
        <v>11000000</v>
      </c>
      <c r="V54" s="28">
        <f t="shared" si="3"/>
        <v>13856000</v>
      </c>
      <c r="W54" s="28">
        <f>SUM(W8:W52)</f>
        <v>20172032</v>
      </c>
      <c r="X54" s="28">
        <f>SUM(X8:X51)</f>
        <v>17325000</v>
      </c>
      <c r="Y54" s="28">
        <f>SUM(Y8:Y51)</f>
        <v>17426000</v>
      </c>
    </row>
    <row r="55" spans="1:25" x14ac:dyDescent="0.25">
      <c r="A55" s="81"/>
      <c r="C55" s="120"/>
      <c r="D55" s="122"/>
    </row>
    <row r="56" spans="1:25" x14ac:dyDescent="0.25">
      <c r="A56" s="86" t="s">
        <v>619</v>
      </c>
      <c r="B56" s="17">
        <f t="shared" ref="B56:Y56" si="4">B54-B8</f>
        <v>229000</v>
      </c>
      <c r="C56" s="120">
        <f t="shared" si="4"/>
        <v>380340</v>
      </c>
      <c r="D56" s="122">
        <f t="shared" si="4"/>
        <v>609340</v>
      </c>
      <c r="E56" s="17">
        <f t="shared" si="4"/>
        <v>827920</v>
      </c>
      <c r="F56" s="17">
        <f t="shared" si="4"/>
        <v>1155120</v>
      </c>
      <c r="G56" s="17">
        <f t="shared" si="4"/>
        <v>1612920</v>
      </c>
      <c r="H56" s="17">
        <f t="shared" si="4"/>
        <v>1610020</v>
      </c>
      <c r="I56" s="17">
        <f t="shared" si="4"/>
        <v>0</v>
      </c>
      <c r="J56" s="17">
        <f t="shared" si="4"/>
        <v>0</v>
      </c>
      <c r="K56" s="17">
        <f t="shared" si="4"/>
        <v>0</v>
      </c>
      <c r="L56" s="17">
        <f t="shared" si="4"/>
        <v>0</v>
      </c>
      <c r="M56" s="17">
        <f t="shared" si="4"/>
        <v>0</v>
      </c>
      <c r="N56" s="17">
        <f t="shared" si="4"/>
        <v>0</v>
      </c>
      <c r="O56" s="17">
        <f t="shared" si="4"/>
        <v>1473200</v>
      </c>
      <c r="P56" s="17">
        <f t="shared" si="4"/>
        <v>2447320</v>
      </c>
      <c r="Q56" s="17">
        <f t="shared" si="4"/>
        <v>2016800</v>
      </c>
      <c r="R56" s="17">
        <f t="shared" si="4"/>
        <v>2101440</v>
      </c>
      <c r="S56" s="17">
        <f t="shared" si="4"/>
        <v>0</v>
      </c>
      <c r="T56" s="17">
        <f t="shared" si="4"/>
        <v>5491000</v>
      </c>
      <c r="U56" s="17">
        <f t="shared" si="4"/>
        <v>11000000</v>
      </c>
      <c r="V56" s="17">
        <f t="shared" si="4"/>
        <v>13856000</v>
      </c>
      <c r="W56" s="17">
        <f t="shared" si="4"/>
        <v>19777650</v>
      </c>
      <c r="X56" s="17">
        <f t="shared" si="4"/>
        <v>17325000</v>
      </c>
      <c r="Y56" s="17">
        <f t="shared" si="4"/>
        <v>17426000</v>
      </c>
    </row>
    <row r="57" spans="1:25" x14ac:dyDescent="0.25">
      <c r="D57" s="109"/>
    </row>
    <row r="58" spans="1:25" s="92" customFormat="1" x14ac:dyDescent="0.25">
      <c r="A58" s="147"/>
    </row>
    <row r="59" spans="1:25" x14ac:dyDescent="0.25">
      <c r="D59" s="109"/>
    </row>
    <row r="60" spans="1:25" x14ac:dyDescent="0.25">
      <c r="A60" s="78" t="s">
        <v>301</v>
      </c>
      <c r="D60" s="109"/>
    </row>
    <row r="61" spans="1:25" x14ac:dyDescent="0.25">
      <c r="A61" s="79" t="s">
        <v>1071</v>
      </c>
      <c r="B61" s="16" t="s">
        <v>515</v>
      </c>
      <c r="C61" s="16" t="s">
        <v>806</v>
      </c>
      <c r="D61" s="109"/>
      <c r="E61" s="16" t="s">
        <v>1169</v>
      </c>
      <c r="F61" s="16" t="s">
        <v>1121</v>
      </c>
      <c r="G61" s="16" t="s">
        <v>1169</v>
      </c>
      <c r="H61" s="16" t="s">
        <v>1121</v>
      </c>
      <c r="I61" s="16"/>
      <c r="J61" s="16"/>
      <c r="K61" s="16"/>
      <c r="L61" s="16"/>
      <c r="M61" s="16"/>
      <c r="N61" s="16"/>
      <c r="O61" s="16" t="s">
        <v>1170</v>
      </c>
      <c r="P61" s="16" t="s">
        <v>1177</v>
      </c>
      <c r="Q61" s="15" t="s">
        <v>1172</v>
      </c>
      <c r="R61" s="16" t="s">
        <v>1173</v>
      </c>
      <c r="S61" s="16"/>
      <c r="T61" s="16" t="s">
        <v>1174</v>
      </c>
      <c r="U61" s="16" t="s">
        <v>1154</v>
      </c>
      <c r="V61" s="16" t="s">
        <v>1164</v>
      </c>
      <c r="W61" s="16" t="s">
        <v>1175</v>
      </c>
      <c r="X61" s="16" t="s">
        <v>1176</v>
      </c>
      <c r="Y61" s="16" t="s">
        <v>1175</v>
      </c>
    </row>
    <row r="62" spans="1:25" x14ac:dyDescent="0.25">
      <c r="A62" s="79" t="s">
        <v>1072</v>
      </c>
      <c r="B62" s="16" t="s">
        <v>1350</v>
      </c>
      <c r="C62" s="16" t="s">
        <v>1351</v>
      </c>
      <c r="D62" s="109"/>
      <c r="E62" s="16" t="s">
        <v>1352</v>
      </c>
      <c r="F62" s="16" t="s">
        <v>1353</v>
      </c>
      <c r="G62" s="16" t="s">
        <v>1352</v>
      </c>
      <c r="H62" s="16" t="s">
        <v>1353</v>
      </c>
      <c r="I62" s="16"/>
      <c r="J62" s="16"/>
      <c r="K62" s="16"/>
      <c r="L62" s="16"/>
      <c r="M62" s="16"/>
      <c r="N62" s="16"/>
      <c r="O62" s="16" t="s">
        <v>1354</v>
      </c>
      <c r="P62" s="16" t="s">
        <v>1355</v>
      </c>
      <c r="Q62" s="15" t="s">
        <v>1356</v>
      </c>
      <c r="R62" s="16" t="s">
        <v>1357</v>
      </c>
      <c r="S62" s="16"/>
      <c r="T62" s="16" t="s">
        <v>1358</v>
      </c>
      <c r="U62" s="16" t="s">
        <v>1359</v>
      </c>
      <c r="V62" s="16" t="s">
        <v>1360</v>
      </c>
      <c r="W62" s="16" t="s">
        <v>1361</v>
      </c>
      <c r="X62" s="16" t="s">
        <v>1363</v>
      </c>
      <c r="Y62" s="16" t="s">
        <v>1361</v>
      </c>
    </row>
    <row r="63" spans="1:25" x14ac:dyDescent="0.25">
      <c r="A63" s="80" t="s">
        <v>85</v>
      </c>
      <c r="B63" s="123" t="s">
        <v>807</v>
      </c>
      <c r="C63" s="123" t="s">
        <v>808</v>
      </c>
      <c r="D63" s="124" t="s">
        <v>809</v>
      </c>
      <c r="E63" s="24" t="s">
        <v>825</v>
      </c>
      <c r="F63" s="24" t="s">
        <v>207</v>
      </c>
      <c r="G63" s="24" t="s">
        <v>208</v>
      </c>
      <c r="H63" s="24" t="s">
        <v>209</v>
      </c>
      <c r="I63" s="24">
        <v>71</v>
      </c>
      <c r="J63" s="24">
        <v>72</v>
      </c>
      <c r="K63" s="24">
        <v>73</v>
      </c>
      <c r="L63" s="24">
        <v>74</v>
      </c>
      <c r="M63" s="24">
        <v>75</v>
      </c>
      <c r="N63" s="24">
        <v>76</v>
      </c>
      <c r="O63" s="24" t="s">
        <v>294</v>
      </c>
      <c r="P63" s="24" t="s">
        <v>216</v>
      </c>
      <c r="Q63" s="25" t="s">
        <v>23</v>
      </c>
      <c r="R63" s="24" t="s">
        <v>24</v>
      </c>
      <c r="S63" s="24" t="s">
        <v>25</v>
      </c>
      <c r="T63" s="24" t="s">
        <v>26</v>
      </c>
      <c r="U63" s="24" t="s">
        <v>27</v>
      </c>
      <c r="V63" s="24" t="s">
        <v>28</v>
      </c>
      <c r="W63" s="24" t="s">
        <v>29</v>
      </c>
      <c r="X63" s="24" t="s">
        <v>30</v>
      </c>
      <c r="Y63" s="24" t="s">
        <v>31</v>
      </c>
    </row>
    <row r="64" spans="1:25" x14ac:dyDescent="0.25">
      <c r="A64" s="79" t="s">
        <v>86</v>
      </c>
      <c r="B64" s="110" t="s">
        <v>810</v>
      </c>
      <c r="C64" s="110" t="s">
        <v>811</v>
      </c>
      <c r="D64" s="111" t="s">
        <v>812</v>
      </c>
      <c r="E64" s="16" t="s">
        <v>813</v>
      </c>
      <c r="F64" s="16" t="s">
        <v>814</v>
      </c>
      <c r="G64" s="16" t="s">
        <v>813</v>
      </c>
      <c r="H64" s="16" t="s">
        <v>814</v>
      </c>
      <c r="I64" s="16"/>
      <c r="J64" s="16"/>
      <c r="K64" s="16"/>
      <c r="L64" s="16"/>
      <c r="M64" s="16"/>
      <c r="N64" s="16"/>
      <c r="O64" s="16" t="s">
        <v>815</v>
      </c>
      <c r="P64" s="16" t="s">
        <v>816</v>
      </c>
      <c r="Q64" s="15" t="s">
        <v>817</v>
      </c>
      <c r="R64" s="16" t="s">
        <v>818</v>
      </c>
      <c r="S64" s="16"/>
      <c r="T64" s="16" t="s">
        <v>819</v>
      </c>
      <c r="U64" s="16" t="s">
        <v>820</v>
      </c>
      <c r="V64" s="16" t="s">
        <v>819</v>
      </c>
      <c r="W64" s="16" t="s">
        <v>67</v>
      </c>
      <c r="X64" s="16" t="s">
        <v>821</v>
      </c>
      <c r="Y64" s="16" t="s">
        <v>822</v>
      </c>
    </row>
    <row r="65" spans="1:25" x14ac:dyDescent="0.25">
      <c r="A65" s="79" t="s">
        <v>84</v>
      </c>
      <c r="B65" s="16" t="s">
        <v>70</v>
      </c>
      <c r="C65" s="16" t="s">
        <v>70</v>
      </c>
      <c r="D65" s="109" t="s">
        <v>823</v>
      </c>
      <c r="E65" s="16" t="s">
        <v>70</v>
      </c>
      <c r="F65" s="16" t="s">
        <v>70</v>
      </c>
      <c r="G65" s="39" t="s">
        <v>71</v>
      </c>
      <c r="H65" s="39" t="s">
        <v>71</v>
      </c>
      <c r="I65" s="16"/>
      <c r="J65" s="16"/>
      <c r="K65" s="16"/>
      <c r="L65" s="16"/>
      <c r="M65" s="16"/>
      <c r="N65" s="16"/>
      <c r="O65" s="16" t="s">
        <v>70</v>
      </c>
      <c r="P65" s="16" t="s">
        <v>70</v>
      </c>
      <c r="Q65" s="16" t="s">
        <v>70</v>
      </c>
      <c r="R65" s="16" t="s">
        <v>70</v>
      </c>
      <c r="S65" s="16" t="s">
        <v>5</v>
      </c>
      <c r="T65" s="39" t="s">
        <v>71</v>
      </c>
      <c r="U65" s="39" t="s">
        <v>71</v>
      </c>
      <c r="V65" s="39" t="s">
        <v>71</v>
      </c>
      <c r="W65" s="16" t="s">
        <v>70</v>
      </c>
      <c r="X65" s="39" t="s">
        <v>71</v>
      </c>
      <c r="Y65" s="39" t="s">
        <v>71</v>
      </c>
    </row>
    <row r="66" spans="1:25" x14ac:dyDescent="0.25">
      <c r="A66" s="89"/>
      <c r="B66" s="28"/>
      <c r="C66" s="28"/>
      <c r="D66" s="125"/>
      <c r="E66" s="28"/>
      <c r="F66" s="28"/>
      <c r="G66" s="28"/>
      <c r="H66" s="28"/>
      <c r="I66" s="28"/>
      <c r="J66" s="28"/>
      <c r="K66" s="28"/>
      <c r="L66" s="28"/>
      <c r="M66" s="28"/>
      <c r="N66" s="28"/>
      <c r="O66" s="28"/>
      <c r="P66" s="28"/>
      <c r="Q66" s="28"/>
      <c r="R66" s="28"/>
      <c r="S66" s="28"/>
      <c r="T66" s="28"/>
      <c r="U66" s="28"/>
      <c r="V66" s="17"/>
      <c r="W66" s="17"/>
      <c r="X66" s="17"/>
      <c r="Y66" s="17"/>
    </row>
    <row r="67" spans="1:25" x14ac:dyDescent="0.25">
      <c r="A67" s="88" t="s">
        <v>826</v>
      </c>
      <c r="B67" s="19"/>
      <c r="C67" s="19">
        <v>153200</v>
      </c>
      <c r="D67" s="112">
        <f>C67+B67</f>
        <v>153200</v>
      </c>
      <c r="E67" s="19"/>
      <c r="F67" s="19">
        <v>13451</v>
      </c>
      <c r="G67" s="19"/>
      <c r="H67" s="19"/>
      <c r="I67" s="19"/>
      <c r="J67" s="19"/>
      <c r="K67" s="19"/>
      <c r="L67" s="19"/>
      <c r="M67" s="19"/>
      <c r="N67" s="19"/>
      <c r="O67" s="19">
        <v>120000</v>
      </c>
      <c r="P67" s="19"/>
      <c r="Q67" s="17"/>
      <c r="R67" s="17"/>
      <c r="S67" s="17"/>
      <c r="T67" s="17"/>
      <c r="U67" s="17"/>
      <c r="V67" s="17"/>
      <c r="W67" s="17"/>
      <c r="X67" s="17"/>
      <c r="Y67" s="17"/>
    </row>
    <row r="68" spans="1:25" x14ac:dyDescent="0.25">
      <c r="A68" s="139" t="s">
        <v>624</v>
      </c>
      <c r="B68" s="19"/>
      <c r="C68" s="19"/>
      <c r="D68" s="112"/>
      <c r="E68" s="19"/>
      <c r="F68" s="19"/>
      <c r="G68" s="19"/>
      <c r="H68" s="19"/>
      <c r="I68" s="19"/>
      <c r="J68" s="19"/>
      <c r="K68" s="19"/>
      <c r="L68" s="19"/>
      <c r="M68" s="19"/>
      <c r="N68" s="19"/>
      <c r="O68" s="19"/>
      <c r="P68" s="19"/>
      <c r="Q68" s="16"/>
      <c r="R68" s="16"/>
      <c r="S68" s="16"/>
      <c r="T68" s="16"/>
      <c r="U68" s="16"/>
      <c r="V68" s="17"/>
      <c r="W68" s="17"/>
      <c r="X68" s="17"/>
      <c r="Y68" s="17"/>
    </row>
    <row r="69" spans="1:25" x14ac:dyDescent="0.25">
      <c r="A69" s="88" t="s">
        <v>130</v>
      </c>
      <c r="B69" s="19"/>
      <c r="C69" s="19"/>
      <c r="D69" s="112">
        <f t="shared" ref="D69:D78" si="5">C69+B69</f>
        <v>0</v>
      </c>
      <c r="E69" s="19"/>
      <c r="F69" s="19"/>
      <c r="G69" s="19"/>
      <c r="H69" s="19"/>
      <c r="I69" s="19"/>
      <c r="J69" s="19"/>
      <c r="K69" s="19"/>
      <c r="L69" s="19"/>
      <c r="M69" s="19"/>
      <c r="N69" s="19"/>
      <c r="O69" s="19"/>
      <c r="P69" s="19"/>
      <c r="Q69" s="17"/>
      <c r="R69" s="17"/>
      <c r="S69" s="17"/>
      <c r="T69" s="17"/>
      <c r="U69" s="17">
        <v>240000</v>
      </c>
      <c r="V69" s="17">
        <v>240000</v>
      </c>
      <c r="W69" s="17"/>
      <c r="X69" s="17">
        <v>360000</v>
      </c>
      <c r="Y69" s="17">
        <v>360000</v>
      </c>
    </row>
    <row r="70" spans="1:25" x14ac:dyDescent="0.25">
      <c r="A70" s="88" t="s">
        <v>295</v>
      </c>
      <c r="B70" s="19"/>
      <c r="C70" s="19"/>
      <c r="D70" s="112">
        <f t="shared" si="5"/>
        <v>0</v>
      </c>
      <c r="E70" s="19"/>
      <c r="F70" s="19"/>
      <c r="G70" s="19"/>
      <c r="H70" s="19"/>
      <c r="I70" s="19"/>
      <c r="J70" s="19"/>
      <c r="K70" s="19"/>
      <c r="L70" s="19"/>
      <c r="M70" s="19"/>
      <c r="N70" s="19"/>
      <c r="O70" s="19"/>
      <c r="P70" s="19"/>
      <c r="Q70" s="17"/>
      <c r="R70" s="17"/>
      <c r="S70" s="17"/>
      <c r="T70" s="17"/>
      <c r="U70" s="17">
        <v>120000</v>
      </c>
      <c r="V70" s="17">
        <v>120000</v>
      </c>
      <c r="W70" s="17"/>
      <c r="X70" s="17"/>
      <c r="Y70" s="17"/>
    </row>
    <row r="71" spans="1:25" x14ac:dyDescent="0.25">
      <c r="A71" s="88" t="s">
        <v>591</v>
      </c>
      <c r="B71" s="19"/>
      <c r="C71" s="19"/>
      <c r="D71" s="112">
        <f t="shared" si="5"/>
        <v>0</v>
      </c>
      <c r="E71" s="19"/>
      <c r="F71" s="19"/>
      <c r="G71" s="19"/>
      <c r="H71" s="19"/>
      <c r="I71" s="19"/>
      <c r="J71" s="19"/>
      <c r="K71" s="19"/>
      <c r="L71" s="19"/>
      <c r="M71" s="19"/>
      <c r="N71" s="19"/>
      <c r="O71" s="19"/>
      <c r="P71" s="19"/>
      <c r="Q71" s="17"/>
      <c r="R71" s="17"/>
      <c r="S71" s="17"/>
      <c r="T71" s="17"/>
      <c r="U71" s="17"/>
      <c r="V71" s="17">
        <v>480000</v>
      </c>
      <c r="W71" s="17"/>
      <c r="X71" s="17">
        <v>600000</v>
      </c>
      <c r="Y71" s="17">
        <v>600000</v>
      </c>
    </row>
    <row r="72" spans="1:25" x14ac:dyDescent="0.25">
      <c r="A72" s="75" t="s">
        <v>305</v>
      </c>
      <c r="B72" s="19">
        <v>15000</v>
      </c>
      <c r="C72" s="19">
        <v>30000</v>
      </c>
      <c r="D72" s="112">
        <f t="shared" si="5"/>
        <v>45000</v>
      </c>
      <c r="E72" s="19">
        <v>60000</v>
      </c>
      <c r="F72" s="19">
        <v>60000</v>
      </c>
      <c r="G72" s="19">
        <v>80000</v>
      </c>
      <c r="H72" s="19">
        <v>80000</v>
      </c>
      <c r="I72" s="19"/>
      <c r="J72" s="19"/>
      <c r="K72" s="19"/>
      <c r="L72" s="19"/>
      <c r="M72" s="19"/>
      <c r="N72" s="19"/>
      <c r="O72" s="19">
        <v>60000</v>
      </c>
      <c r="P72" s="19">
        <v>60000</v>
      </c>
      <c r="Q72" s="17">
        <v>200000</v>
      </c>
      <c r="R72" s="17"/>
      <c r="S72" s="17"/>
      <c r="T72" s="17">
        <v>300000</v>
      </c>
      <c r="U72" s="17">
        <v>300000</v>
      </c>
      <c r="V72" s="17">
        <v>400000</v>
      </c>
      <c r="W72" s="17"/>
      <c r="X72" s="17">
        <v>600000</v>
      </c>
      <c r="Y72" s="17">
        <v>600000</v>
      </c>
    </row>
    <row r="73" spans="1:25" x14ac:dyDescent="0.25">
      <c r="A73" s="88" t="s">
        <v>840</v>
      </c>
      <c r="B73" s="19"/>
      <c r="C73" s="19"/>
      <c r="D73" s="112">
        <f t="shared" si="5"/>
        <v>0</v>
      </c>
      <c r="E73" s="19"/>
      <c r="F73" s="19"/>
      <c r="G73" s="19"/>
      <c r="H73" s="19"/>
      <c r="I73" s="19"/>
      <c r="J73" s="19"/>
      <c r="K73" s="19"/>
      <c r="L73" s="19"/>
      <c r="M73" s="19"/>
      <c r="N73" s="19"/>
      <c r="O73" s="19"/>
      <c r="P73" s="19"/>
      <c r="Q73" s="17"/>
      <c r="R73" s="17">
        <v>107500</v>
      </c>
      <c r="S73" s="17"/>
      <c r="T73" s="17"/>
      <c r="U73" s="17"/>
      <c r="V73" s="17"/>
      <c r="W73" s="17"/>
      <c r="X73" s="17"/>
      <c r="Y73" s="17"/>
    </row>
    <row r="74" spans="1:25" x14ac:dyDescent="0.25">
      <c r="A74" s="88" t="s">
        <v>673</v>
      </c>
      <c r="B74" s="19"/>
      <c r="C74" s="19"/>
      <c r="D74" s="112">
        <f t="shared" si="5"/>
        <v>0</v>
      </c>
      <c r="E74" s="19"/>
      <c r="F74" s="19"/>
      <c r="G74" s="19"/>
      <c r="H74" s="19"/>
      <c r="I74" s="19"/>
      <c r="J74" s="19"/>
      <c r="K74" s="19"/>
      <c r="L74" s="19"/>
      <c r="M74" s="19"/>
      <c r="N74" s="19"/>
      <c r="O74" s="19"/>
      <c r="P74" s="19"/>
      <c r="Q74" s="17"/>
      <c r="R74" s="17"/>
      <c r="S74" s="17"/>
      <c r="T74" s="17"/>
      <c r="U74" s="17"/>
      <c r="V74" s="17"/>
      <c r="W74" s="17"/>
      <c r="X74" s="17"/>
      <c r="Y74" s="17">
        <v>360000</v>
      </c>
    </row>
    <row r="75" spans="1:25" x14ac:dyDescent="0.25">
      <c r="A75" s="88" t="s">
        <v>131</v>
      </c>
      <c r="B75" s="19"/>
      <c r="C75" s="19"/>
      <c r="D75" s="112">
        <f t="shared" si="5"/>
        <v>0</v>
      </c>
      <c r="E75" s="19"/>
      <c r="F75" s="19"/>
      <c r="G75" s="19"/>
      <c r="H75" s="19"/>
      <c r="I75" s="19"/>
      <c r="J75" s="19"/>
      <c r="K75" s="19"/>
      <c r="L75" s="19"/>
      <c r="M75" s="19"/>
      <c r="N75" s="19"/>
      <c r="O75" s="19"/>
      <c r="P75" s="19"/>
      <c r="Q75" s="17"/>
      <c r="R75" s="17"/>
      <c r="S75" s="17"/>
      <c r="T75" s="17"/>
      <c r="U75" s="17"/>
      <c r="V75" s="17">
        <v>300000</v>
      </c>
      <c r="W75" s="17"/>
      <c r="X75" s="17">
        <v>300000</v>
      </c>
      <c r="Y75" s="17">
        <v>300000</v>
      </c>
    </row>
    <row r="76" spans="1:25" x14ac:dyDescent="0.25">
      <c r="A76" s="75" t="s">
        <v>466</v>
      </c>
      <c r="B76" s="19">
        <v>7500</v>
      </c>
      <c r="C76" s="19">
        <v>15000</v>
      </c>
      <c r="D76" s="112">
        <f t="shared" si="5"/>
        <v>22500</v>
      </c>
      <c r="E76" s="19">
        <v>30000</v>
      </c>
      <c r="F76" s="19">
        <v>30000</v>
      </c>
      <c r="G76" s="19">
        <v>30000</v>
      </c>
      <c r="H76" s="19">
        <v>30000</v>
      </c>
      <c r="I76" s="19"/>
      <c r="J76" s="19"/>
      <c r="K76" s="19"/>
      <c r="L76" s="19"/>
      <c r="M76" s="19"/>
      <c r="N76" s="19"/>
      <c r="O76" s="19">
        <v>30000</v>
      </c>
      <c r="P76" s="19">
        <v>30000</v>
      </c>
      <c r="Q76" s="17">
        <v>150000</v>
      </c>
      <c r="R76" s="17"/>
      <c r="S76" s="17"/>
      <c r="T76" s="17">
        <v>200000</v>
      </c>
      <c r="U76" s="17">
        <v>120000</v>
      </c>
      <c r="V76" s="17">
        <v>120000</v>
      </c>
      <c r="W76" s="17"/>
      <c r="X76" s="17">
        <v>180000</v>
      </c>
      <c r="Y76" s="17">
        <v>180000</v>
      </c>
    </row>
    <row r="77" spans="1:25" x14ac:dyDescent="0.25">
      <c r="A77" s="75" t="s">
        <v>629</v>
      </c>
      <c r="B77" s="19">
        <f>9740+8860</f>
        <v>18600</v>
      </c>
      <c r="C77" s="19">
        <v>36840</v>
      </c>
      <c r="D77" s="112">
        <f t="shared" si="5"/>
        <v>55440</v>
      </c>
      <c r="E77" s="19"/>
      <c r="F77" s="19">
        <v>32000</v>
      </c>
      <c r="G77" s="19">
        <v>60000</v>
      </c>
      <c r="H77" s="19">
        <v>100000</v>
      </c>
      <c r="I77" s="19"/>
      <c r="J77" s="19"/>
      <c r="K77" s="19"/>
      <c r="L77" s="19"/>
      <c r="M77" s="19"/>
      <c r="N77" s="19"/>
      <c r="O77" s="19">
        <v>176784</v>
      </c>
      <c r="P77" s="19">
        <v>293678</v>
      </c>
      <c r="Q77" s="17">
        <v>242016</v>
      </c>
      <c r="R77" s="17">
        <v>279324</v>
      </c>
      <c r="S77" s="17"/>
      <c r="T77" s="17">
        <v>658920</v>
      </c>
      <c r="U77" s="17">
        <v>1100000</v>
      </c>
      <c r="V77" s="17">
        <v>1305600</v>
      </c>
      <c r="W77" s="17"/>
      <c r="X77" s="17">
        <v>1200000</v>
      </c>
      <c r="Y77" s="17">
        <v>1200000</v>
      </c>
    </row>
    <row r="78" spans="1:25" x14ac:dyDescent="0.25">
      <c r="A78" s="75" t="s">
        <v>625</v>
      </c>
      <c r="B78" s="19">
        <v>30000</v>
      </c>
      <c r="C78" s="19">
        <v>60000</v>
      </c>
      <c r="D78" s="112">
        <f t="shared" si="5"/>
        <v>90000</v>
      </c>
      <c r="E78" s="19">
        <v>120000</v>
      </c>
      <c r="F78" s="19">
        <v>120000</v>
      </c>
      <c r="G78" s="19">
        <v>120000</v>
      </c>
      <c r="H78" s="19">
        <v>120000</v>
      </c>
      <c r="I78" s="19"/>
      <c r="J78" s="19"/>
      <c r="K78" s="19"/>
      <c r="L78" s="19"/>
      <c r="M78" s="19"/>
      <c r="N78" s="19"/>
      <c r="O78" s="19">
        <v>120000</v>
      </c>
      <c r="P78" s="19">
        <v>120000</v>
      </c>
      <c r="Q78" s="17">
        <v>300000</v>
      </c>
      <c r="R78" s="17">
        <v>300000</v>
      </c>
      <c r="S78" s="17"/>
      <c r="T78" s="17">
        <v>600000</v>
      </c>
      <c r="U78" s="17">
        <v>450000</v>
      </c>
      <c r="V78" s="17">
        <v>600000</v>
      </c>
      <c r="W78" s="17"/>
      <c r="X78" s="17">
        <v>600000</v>
      </c>
      <c r="Y78" s="17">
        <v>600000</v>
      </c>
    </row>
    <row r="79" spans="1:25" x14ac:dyDescent="0.25">
      <c r="A79" s="88"/>
      <c r="B79" s="19"/>
      <c r="C79" s="19"/>
      <c r="D79" s="112">
        <f t="shared" ref="D79:D116" si="6">C79+B79</f>
        <v>0</v>
      </c>
      <c r="E79" s="19"/>
      <c r="F79" s="19"/>
      <c r="G79" s="19"/>
      <c r="H79" s="19"/>
      <c r="I79" s="19"/>
      <c r="J79" s="19"/>
      <c r="K79" s="19"/>
      <c r="L79" s="19"/>
      <c r="M79" s="19"/>
      <c r="N79" s="19"/>
      <c r="O79" s="19"/>
      <c r="P79" s="19"/>
      <c r="Q79" s="17"/>
      <c r="R79" s="17"/>
      <c r="S79" s="17"/>
      <c r="T79" s="17"/>
      <c r="U79" s="17"/>
      <c r="V79" s="17"/>
      <c r="W79" s="17"/>
      <c r="X79" s="17"/>
      <c r="Y79" s="17"/>
    </row>
    <row r="80" spans="1:25" x14ac:dyDescent="0.25">
      <c r="A80" s="43" t="s">
        <v>870</v>
      </c>
      <c r="B80" s="19"/>
      <c r="C80" s="19"/>
      <c r="D80" s="112">
        <f>C80+B80</f>
        <v>0</v>
      </c>
      <c r="E80" s="19"/>
      <c r="F80" s="19"/>
      <c r="G80" s="19"/>
      <c r="H80" s="19"/>
      <c r="I80" s="19"/>
      <c r="J80" s="19"/>
      <c r="K80" s="19"/>
      <c r="L80" s="19"/>
      <c r="M80" s="19"/>
      <c r="N80" s="19"/>
      <c r="O80" s="19">
        <v>64000</v>
      </c>
      <c r="P80" s="19">
        <v>96000</v>
      </c>
      <c r="Q80" s="17">
        <v>72000</v>
      </c>
      <c r="R80" s="17"/>
      <c r="S80" s="17"/>
      <c r="T80" s="17">
        <v>200000</v>
      </c>
      <c r="U80" s="17">
        <v>200000</v>
      </c>
      <c r="V80" s="17">
        <v>200000</v>
      </c>
      <c r="W80" s="17"/>
      <c r="X80" s="17">
        <v>100000</v>
      </c>
      <c r="Y80" s="17">
        <v>200000</v>
      </c>
    </row>
    <row r="81" spans="1:25" x14ac:dyDescent="0.25">
      <c r="A81" s="75" t="s">
        <v>687</v>
      </c>
      <c r="B81" s="19"/>
      <c r="C81" s="19"/>
      <c r="D81" s="112">
        <f>C81+B81</f>
        <v>0</v>
      </c>
      <c r="E81" s="19"/>
      <c r="F81" s="19"/>
      <c r="G81" s="19"/>
      <c r="H81" s="19"/>
      <c r="I81" s="19"/>
      <c r="J81" s="19"/>
      <c r="K81" s="19"/>
      <c r="L81" s="19"/>
      <c r="M81" s="19"/>
      <c r="N81" s="19"/>
      <c r="O81" s="19"/>
      <c r="P81" s="19"/>
      <c r="Q81" s="17"/>
      <c r="R81" s="17"/>
      <c r="S81" s="17"/>
      <c r="T81" s="17"/>
      <c r="U81" s="17">
        <v>1300000</v>
      </c>
      <c r="V81" s="17">
        <v>1000000</v>
      </c>
      <c r="W81" s="17"/>
      <c r="X81" s="17">
        <v>1000000</v>
      </c>
      <c r="Y81" s="17">
        <v>1200000</v>
      </c>
    </row>
    <row r="82" spans="1:25" x14ac:dyDescent="0.25">
      <c r="A82" s="88" t="s">
        <v>1046</v>
      </c>
      <c r="B82" s="19"/>
      <c r="C82" s="19"/>
      <c r="D82" s="112">
        <f>C82+B82</f>
        <v>0</v>
      </c>
      <c r="E82" s="19"/>
      <c r="F82" s="19"/>
      <c r="G82" s="19"/>
      <c r="H82" s="19"/>
      <c r="I82" s="19"/>
      <c r="J82" s="19"/>
      <c r="K82" s="19"/>
      <c r="L82" s="19"/>
      <c r="M82" s="19"/>
      <c r="N82" s="19"/>
      <c r="O82" s="19"/>
      <c r="P82" s="19">
        <v>37000</v>
      </c>
      <c r="Q82" s="17"/>
      <c r="R82" s="17"/>
      <c r="S82" s="17"/>
      <c r="T82" s="17"/>
      <c r="U82" s="17"/>
      <c r="V82" s="17"/>
      <c r="W82" s="17"/>
      <c r="X82" s="17"/>
      <c r="Y82" s="17"/>
    </row>
    <row r="83" spans="1:25" x14ac:dyDescent="0.25">
      <c r="A83" s="88" t="s">
        <v>1051</v>
      </c>
      <c r="B83" s="19"/>
      <c r="C83" s="19"/>
      <c r="D83" s="112">
        <f>C83+B83</f>
        <v>0</v>
      </c>
      <c r="E83" s="19"/>
      <c r="F83" s="19"/>
      <c r="G83" s="19"/>
      <c r="H83" s="19"/>
      <c r="I83" s="19"/>
      <c r="J83" s="19"/>
      <c r="K83" s="19"/>
      <c r="L83" s="19"/>
      <c r="M83" s="19"/>
      <c r="N83" s="19"/>
      <c r="O83" s="19"/>
      <c r="P83" s="19">
        <v>432000</v>
      </c>
      <c r="Q83" s="17">
        <v>246000</v>
      </c>
      <c r="R83" s="17"/>
      <c r="S83" s="17"/>
      <c r="T83" s="17"/>
      <c r="U83" s="17"/>
      <c r="V83" s="17"/>
      <c r="W83" s="17"/>
      <c r="X83" s="17"/>
      <c r="Y83" s="17"/>
    </row>
    <row r="84" spans="1:25" x14ac:dyDescent="0.25">
      <c r="A84" s="75" t="s">
        <v>841</v>
      </c>
      <c r="B84" s="19"/>
      <c r="C84" s="19">
        <v>174980</v>
      </c>
      <c r="D84" s="112">
        <f>C84+B84</f>
        <v>174980</v>
      </c>
      <c r="E84" s="19">
        <v>607794</v>
      </c>
      <c r="F84" s="19">
        <v>849395</v>
      </c>
      <c r="G84" s="19">
        <v>1116646</v>
      </c>
      <c r="H84" s="19">
        <v>978471</v>
      </c>
      <c r="I84" s="19"/>
      <c r="J84" s="19"/>
      <c r="K84" s="19"/>
      <c r="L84" s="19"/>
      <c r="M84" s="19"/>
      <c r="N84" s="19"/>
      <c r="O84" s="19">
        <v>537366</v>
      </c>
      <c r="P84" s="19">
        <v>863170</v>
      </c>
      <c r="Q84" s="17">
        <v>126220</v>
      </c>
      <c r="R84" s="17">
        <v>1349746</v>
      </c>
      <c r="S84" s="17"/>
      <c r="T84" s="17">
        <v>2352080</v>
      </c>
      <c r="U84" s="17">
        <v>6270000</v>
      </c>
      <c r="V84" s="17">
        <v>7750400</v>
      </c>
      <c r="W84" s="17"/>
      <c r="X84" s="17">
        <v>10725000</v>
      </c>
      <c r="Y84" s="17">
        <v>10226000</v>
      </c>
    </row>
    <row r="85" spans="1:25" x14ac:dyDescent="0.25">
      <c r="A85" s="88"/>
      <c r="B85" s="19"/>
      <c r="C85" s="19"/>
      <c r="D85" s="112"/>
      <c r="E85" s="19"/>
      <c r="F85" s="19"/>
      <c r="G85" s="19"/>
      <c r="H85" s="19"/>
      <c r="I85" s="19"/>
      <c r="J85" s="19"/>
      <c r="K85" s="19"/>
      <c r="L85" s="19"/>
      <c r="M85" s="19"/>
      <c r="N85" s="19"/>
      <c r="O85" s="19"/>
      <c r="P85" s="19"/>
      <c r="Q85" s="17"/>
      <c r="R85" s="17"/>
      <c r="S85" s="17"/>
      <c r="T85" s="17"/>
      <c r="U85" s="17"/>
      <c r="V85" s="17"/>
      <c r="W85" s="17"/>
      <c r="X85" s="17"/>
      <c r="Y85" s="17"/>
    </row>
    <row r="86" spans="1:25" x14ac:dyDescent="0.25">
      <c r="A86" s="88" t="s">
        <v>154</v>
      </c>
      <c r="B86" s="19"/>
      <c r="C86" s="19"/>
      <c r="D86" s="112">
        <f>C86+B86</f>
        <v>0</v>
      </c>
      <c r="E86" s="19"/>
      <c r="F86" s="19"/>
      <c r="G86" s="19"/>
      <c r="H86" s="19"/>
      <c r="I86" s="19"/>
      <c r="J86" s="19"/>
      <c r="K86" s="19"/>
      <c r="L86" s="19"/>
      <c r="M86" s="19"/>
      <c r="N86" s="19"/>
      <c r="O86" s="19"/>
      <c r="P86" s="19"/>
      <c r="Q86" s="17"/>
      <c r="R86" s="17"/>
      <c r="S86" s="17"/>
      <c r="T86" s="17"/>
      <c r="U86" s="17"/>
      <c r="V86" s="17"/>
      <c r="W86" s="17"/>
      <c r="X86" s="17"/>
      <c r="Y86" s="17"/>
    </row>
    <row r="87" spans="1:25" x14ac:dyDescent="0.25">
      <c r="A87" s="75" t="s">
        <v>176</v>
      </c>
      <c r="B87" s="19"/>
      <c r="C87" s="19"/>
      <c r="D87" s="112">
        <f>C87+B87</f>
        <v>0</v>
      </c>
      <c r="E87" s="19"/>
      <c r="F87" s="19"/>
      <c r="G87" s="19"/>
      <c r="H87" s="19"/>
      <c r="I87" s="19"/>
      <c r="J87" s="19"/>
      <c r="K87" s="19"/>
      <c r="L87" s="19"/>
      <c r="M87" s="19"/>
      <c r="N87" s="19"/>
      <c r="O87" s="19"/>
      <c r="P87" s="19"/>
      <c r="Q87" s="17"/>
      <c r="R87" s="17"/>
      <c r="S87" s="17"/>
      <c r="T87" s="17"/>
      <c r="U87" s="17"/>
      <c r="V87" s="17"/>
      <c r="W87" s="17"/>
      <c r="X87" s="17"/>
      <c r="Y87" s="17"/>
    </row>
    <row r="88" spans="1:25" x14ac:dyDescent="0.25">
      <c r="A88" s="88" t="s">
        <v>845</v>
      </c>
      <c r="B88" s="19"/>
      <c r="C88" s="19"/>
      <c r="D88" s="112">
        <f>C88+B88</f>
        <v>0</v>
      </c>
      <c r="E88" s="19"/>
      <c r="F88" s="19"/>
      <c r="G88" s="19"/>
      <c r="H88" s="19"/>
      <c r="I88" s="19"/>
      <c r="J88" s="19"/>
      <c r="K88" s="19"/>
      <c r="L88" s="19"/>
      <c r="M88" s="19"/>
      <c r="N88" s="19"/>
      <c r="O88" s="19"/>
      <c r="P88" s="19">
        <v>200000</v>
      </c>
      <c r="Q88" s="17"/>
      <c r="R88" s="17"/>
      <c r="S88" s="17"/>
      <c r="T88" s="17"/>
      <c r="U88" s="17"/>
      <c r="V88" s="17"/>
      <c r="W88" s="17"/>
      <c r="X88" s="17"/>
      <c r="Y88" s="17"/>
    </row>
    <row r="89" spans="1:25" x14ac:dyDescent="0.25">
      <c r="A89" s="88" t="s">
        <v>844</v>
      </c>
      <c r="B89" s="19"/>
      <c r="C89" s="19"/>
      <c r="D89" s="112">
        <f>C89+B89</f>
        <v>0</v>
      </c>
      <c r="E89" s="19"/>
      <c r="F89" s="19"/>
      <c r="G89" s="19"/>
      <c r="H89" s="19"/>
      <c r="I89" s="19"/>
      <c r="J89" s="19"/>
      <c r="K89" s="19"/>
      <c r="L89" s="19"/>
      <c r="M89" s="19"/>
      <c r="N89" s="19"/>
      <c r="O89" s="19"/>
      <c r="P89" s="19"/>
      <c r="Q89" s="17">
        <v>41140</v>
      </c>
      <c r="R89" s="17"/>
      <c r="S89" s="17"/>
      <c r="T89" s="17"/>
      <c r="U89" s="17"/>
      <c r="V89" s="17"/>
      <c r="W89" s="17"/>
      <c r="X89" s="17"/>
      <c r="Y89" s="17"/>
    </row>
    <row r="90" spans="1:25" x14ac:dyDescent="0.25">
      <c r="A90" s="88"/>
      <c r="B90" s="19"/>
      <c r="C90" s="19"/>
      <c r="D90" s="112">
        <f t="shared" si="6"/>
        <v>0</v>
      </c>
      <c r="E90" s="19"/>
      <c r="F90" s="19"/>
      <c r="G90" s="19"/>
      <c r="H90" s="19"/>
      <c r="I90" s="19"/>
      <c r="J90" s="19"/>
      <c r="K90" s="19"/>
      <c r="L90" s="19"/>
      <c r="M90" s="19"/>
      <c r="N90" s="19"/>
      <c r="O90" s="19"/>
      <c r="P90" s="19"/>
      <c r="Q90" s="17"/>
      <c r="R90" s="17"/>
      <c r="S90" s="17"/>
      <c r="T90" s="17"/>
      <c r="U90" s="17"/>
      <c r="V90" s="17"/>
      <c r="W90" s="17"/>
      <c r="X90" s="17"/>
      <c r="Y90" s="17"/>
    </row>
    <row r="91" spans="1:25" x14ac:dyDescent="0.25">
      <c r="A91" s="88" t="s">
        <v>894</v>
      </c>
      <c r="B91" s="19"/>
      <c r="C91" s="19"/>
      <c r="D91" s="112">
        <f t="shared" ref="D91:D99" si="7">C91+B91</f>
        <v>0</v>
      </c>
      <c r="E91" s="19"/>
      <c r="F91" s="19"/>
      <c r="G91" s="19"/>
      <c r="H91" s="19"/>
      <c r="I91" s="19"/>
      <c r="J91" s="19"/>
      <c r="K91" s="19"/>
      <c r="L91" s="19"/>
      <c r="M91" s="19"/>
      <c r="N91" s="19"/>
      <c r="O91" s="19"/>
      <c r="P91" s="19"/>
      <c r="Q91" s="17">
        <v>25380</v>
      </c>
      <c r="R91" s="17"/>
      <c r="S91" s="17"/>
      <c r="T91" s="17"/>
      <c r="U91" s="17"/>
      <c r="V91" s="17"/>
      <c r="W91" s="17"/>
      <c r="X91" s="17"/>
      <c r="Y91" s="17"/>
    </row>
    <row r="92" spans="1:25" x14ac:dyDescent="0.25">
      <c r="A92" s="88" t="s">
        <v>850</v>
      </c>
      <c r="B92" s="19"/>
      <c r="C92" s="19"/>
      <c r="D92" s="112">
        <f t="shared" si="7"/>
        <v>0</v>
      </c>
      <c r="E92" s="19"/>
      <c r="F92" s="19"/>
      <c r="G92" s="19"/>
      <c r="H92" s="19"/>
      <c r="I92" s="19"/>
      <c r="J92" s="19"/>
      <c r="K92" s="19"/>
      <c r="L92" s="19"/>
      <c r="M92" s="19"/>
      <c r="N92" s="19"/>
      <c r="O92" s="19">
        <v>73700</v>
      </c>
      <c r="P92" s="19">
        <v>38160</v>
      </c>
      <c r="Q92" s="17"/>
      <c r="R92" s="17"/>
      <c r="S92" s="17"/>
      <c r="T92" s="17"/>
      <c r="U92" s="17"/>
      <c r="V92" s="17"/>
      <c r="W92" s="17"/>
      <c r="X92" s="17"/>
      <c r="Y92" s="17"/>
    </row>
    <row r="93" spans="1:25" x14ac:dyDescent="0.25">
      <c r="A93" s="75" t="s">
        <v>849</v>
      </c>
      <c r="B93" s="19"/>
      <c r="C93" s="19"/>
      <c r="D93" s="112">
        <f t="shared" si="7"/>
        <v>0</v>
      </c>
      <c r="E93" s="19"/>
      <c r="F93" s="19"/>
      <c r="G93" s="19"/>
      <c r="H93" s="19"/>
      <c r="I93" s="19"/>
      <c r="J93" s="19"/>
      <c r="K93" s="19"/>
      <c r="L93" s="19"/>
      <c r="M93" s="19"/>
      <c r="N93" s="19"/>
      <c r="O93" s="19">
        <v>22260</v>
      </c>
      <c r="P93" s="19">
        <v>17060</v>
      </c>
      <c r="Q93" s="17"/>
      <c r="R93" s="17"/>
      <c r="S93" s="17"/>
      <c r="T93" s="17"/>
      <c r="U93" s="17"/>
      <c r="V93" s="17"/>
      <c r="W93" s="17"/>
      <c r="X93" s="17"/>
      <c r="Y93" s="17"/>
    </row>
    <row r="94" spans="1:25" x14ac:dyDescent="0.25">
      <c r="A94" s="75" t="s">
        <v>482</v>
      </c>
      <c r="B94" s="19"/>
      <c r="C94" s="19"/>
      <c r="D94" s="112">
        <f t="shared" si="7"/>
        <v>0</v>
      </c>
      <c r="E94" s="19"/>
      <c r="F94" s="19"/>
      <c r="G94" s="19">
        <v>100000</v>
      </c>
      <c r="H94" s="19">
        <v>150000</v>
      </c>
      <c r="I94" s="19"/>
      <c r="J94" s="19"/>
      <c r="K94" s="19"/>
      <c r="L94" s="19"/>
      <c r="M94" s="19"/>
      <c r="N94" s="19"/>
      <c r="O94" s="19"/>
      <c r="P94" s="19"/>
      <c r="Q94" s="17"/>
      <c r="R94" s="17">
        <v>95420</v>
      </c>
      <c r="S94" s="17"/>
      <c r="T94" s="17">
        <f>400000+100000</f>
        <v>500000</v>
      </c>
      <c r="U94" s="17">
        <v>400000</v>
      </c>
      <c r="V94" s="17">
        <v>400000</v>
      </c>
      <c r="W94" s="17"/>
      <c r="X94" s="17">
        <v>600000</v>
      </c>
      <c r="Y94" s="17">
        <v>600000</v>
      </c>
    </row>
    <row r="95" spans="1:25" x14ac:dyDescent="0.25">
      <c r="A95" s="75" t="s">
        <v>846</v>
      </c>
      <c r="B95" s="19"/>
      <c r="C95" s="19"/>
      <c r="D95" s="112">
        <f t="shared" si="7"/>
        <v>0</v>
      </c>
      <c r="E95" s="19"/>
      <c r="F95" s="19"/>
      <c r="G95" s="19">
        <v>40000</v>
      </c>
      <c r="H95" s="19">
        <v>35000</v>
      </c>
      <c r="I95" s="19"/>
      <c r="J95" s="19"/>
      <c r="K95" s="19"/>
      <c r="L95" s="19"/>
      <c r="M95" s="19"/>
      <c r="N95" s="19"/>
      <c r="O95" s="19">
        <v>101720</v>
      </c>
      <c r="P95" s="19">
        <v>134900</v>
      </c>
      <c r="Q95" s="17"/>
      <c r="R95" s="17"/>
      <c r="S95" s="17"/>
      <c r="T95" s="17">
        <v>120000</v>
      </c>
      <c r="U95" s="17">
        <v>200000</v>
      </c>
      <c r="V95" s="17">
        <v>200000</v>
      </c>
      <c r="W95" s="17"/>
      <c r="X95" s="17">
        <v>200000</v>
      </c>
      <c r="Y95" s="17">
        <v>200000</v>
      </c>
    </row>
    <row r="96" spans="1:25" x14ac:dyDescent="0.25">
      <c r="A96" s="88" t="s">
        <v>848</v>
      </c>
      <c r="B96" s="19">
        <v>15380</v>
      </c>
      <c r="C96" s="19"/>
      <c r="D96" s="112">
        <f t="shared" si="7"/>
        <v>15380</v>
      </c>
      <c r="E96" s="19"/>
      <c r="F96" s="19"/>
      <c r="G96" s="19"/>
      <c r="H96" s="19"/>
      <c r="I96" s="19"/>
      <c r="J96" s="19"/>
      <c r="K96" s="19"/>
      <c r="L96" s="19"/>
      <c r="M96" s="19"/>
      <c r="N96" s="19"/>
      <c r="O96" s="19"/>
      <c r="P96" s="19"/>
      <c r="Q96" s="17"/>
      <c r="R96" s="17"/>
      <c r="S96" s="17"/>
      <c r="T96" s="17"/>
      <c r="U96" s="17"/>
      <c r="V96" s="17"/>
      <c r="W96" s="17"/>
      <c r="X96" s="17"/>
      <c r="Y96" s="17"/>
    </row>
    <row r="97" spans="1:25" x14ac:dyDescent="0.25">
      <c r="A97" s="88" t="s">
        <v>847</v>
      </c>
      <c r="B97" s="19"/>
      <c r="C97" s="19">
        <v>6800</v>
      </c>
      <c r="D97" s="112">
        <f t="shared" si="7"/>
        <v>6800</v>
      </c>
      <c r="E97" s="19">
        <v>20600</v>
      </c>
      <c r="F97" s="19">
        <v>24000</v>
      </c>
      <c r="G97" s="19"/>
      <c r="H97" s="19"/>
      <c r="I97" s="19"/>
      <c r="J97" s="19"/>
      <c r="K97" s="19"/>
      <c r="L97" s="19"/>
      <c r="M97" s="19"/>
      <c r="N97" s="19"/>
      <c r="O97" s="19"/>
      <c r="P97" s="19"/>
      <c r="Q97" s="17"/>
      <c r="R97" s="17"/>
      <c r="S97" s="17"/>
      <c r="T97" s="17"/>
      <c r="U97" s="17"/>
      <c r="V97" s="17"/>
      <c r="W97" s="17"/>
      <c r="X97" s="17"/>
      <c r="Y97" s="17"/>
    </row>
    <row r="98" spans="1:25" x14ac:dyDescent="0.25">
      <c r="A98" s="88" t="s">
        <v>693</v>
      </c>
      <c r="B98" s="19"/>
      <c r="C98" s="19"/>
      <c r="D98" s="112">
        <f t="shared" si="7"/>
        <v>0</v>
      </c>
      <c r="E98" s="19"/>
      <c r="F98" s="19"/>
      <c r="G98" s="19"/>
      <c r="H98" s="19"/>
      <c r="I98" s="19"/>
      <c r="J98" s="19"/>
      <c r="K98" s="19"/>
      <c r="L98" s="19"/>
      <c r="M98" s="19"/>
      <c r="N98" s="19"/>
      <c r="O98" s="19">
        <v>125150</v>
      </c>
      <c r="P98" s="19"/>
      <c r="Q98" s="17">
        <v>200000</v>
      </c>
      <c r="R98" s="17"/>
      <c r="S98" s="17"/>
      <c r="T98" s="17"/>
      <c r="U98" s="17"/>
      <c r="V98" s="17"/>
      <c r="W98" s="17"/>
      <c r="X98" s="17"/>
      <c r="Y98" s="17"/>
    </row>
    <row r="99" spans="1:25" x14ac:dyDescent="0.25">
      <c r="A99" s="75" t="s">
        <v>488</v>
      </c>
      <c r="B99" s="19"/>
      <c r="C99" s="19"/>
      <c r="D99" s="112">
        <f t="shared" si="7"/>
        <v>0</v>
      </c>
      <c r="E99" s="19"/>
      <c r="F99" s="19"/>
      <c r="G99" s="19">
        <v>25000</v>
      </c>
      <c r="H99" s="19">
        <v>30000</v>
      </c>
      <c r="I99" s="19"/>
      <c r="J99" s="19"/>
      <c r="K99" s="19"/>
      <c r="L99" s="19"/>
      <c r="M99" s="19"/>
      <c r="N99" s="19"/>
      <c r="O99" s="19">
        <v>165000</v>
      </c>
      <c r="P99" s="19">
        <v>21600</v>
      </c>
      <c r="Q99" s="17">
        <v>17100</v>
      </c>
      <c r="R99" s="17">
        <v>96470</v>
      </c>
      <c r="S99" s="17"/>
      <c r="T99" s="17"/>
      <c r="U99" s="17"/>
      <c r="V99" s="17"/>
      <c r="W99" s="17"/>
      <c r="X99" s="17"/>
      <c r="Y99" s="17"/>
    </row>
    <row r="100" spans="1:25" x14ac:dyDescent="0.25">
      <c r="A100" s="75"/>
      <c r="B100" s="19"/>
      <c r="C100" s="19"/>
      <c r="D100" s="112"/>
      <c r="E100" s="19"/>
      <c r="F100" s="19"/>
      <c r="G100" s="19"/>
      <c r="H100" s="19"/>
      <c r="I100" s="19"/>
      <c r="J100" s="19"/>
      <c r="K100" s="19"/>
      <c r="L100" s="19"/>
      <c r="M100" s="19"/>
      <c r="N100" s="19"/>
      <c r="O100" s="19"/>
      <c r="P100" s="19"/>
      <c r="Q100" s="17"/>
      <c r="R100" s="17"/>
      <c r="S100" s="17"/>
      <c r="T100" s="17"/>
      <c r="U100" s="17"/>
      <c r="V100" s="17"/>
      <c r="W100" s="17"/>
      <c r="X100" s="17"/>
      <c r="Y100" s="17"/>
    </row>
    <row r="101" spans="1:25" x14ac:dyDescent="0.25">
      <c r="A101" s="75" t="s">
        <v>842</v>
      </c>
      <c r="B101" s="19"/>
      <c r="C101" s="19"/>
      <c r="D101" s="112">
        <f>C101+B101</f>
        <v>0</v>
      </c>
      <c r="E101" s="19"/>
      <c r="F101" s="19"/>
      <c r="G101" s="19"/>
      <c r="H101" s="19"/>
      <c r="I101" s="19"/>
      <c r="J101" s="19"/>
      <c r="K101" s="19"/>
      <c r="L101" s="19"/>
      <c r="M101" s="19"/>
      <c r="N101" s="19"/>
      <c r="O101" s="19"/>
      <c r="P101" s="19"/>
      <c r="Q101" s="17"/>
      <c r="R101" s="17"/>
      <c r="S101" s="17"/>
      <c r="T101" s="17"/>
      <c r="U101" s="17"/>
      <c r="V101" s="17"/>
      <c r="W101" s="17"/>
      <c r="X101" s="17"/>
      <c r="Y101" s="17"/>
    </row>
    <row r="102" spans="1:25" x14ac:dyDescent="0.25">
      <c r="A102" s="88" t="s">
        <v>851</v>
      </c>
      <c r="B102" s="19"/>
      <c r="C102" s="19"/>
      <c r="D102" s="112">
        <f t="shared" si="6"/>
        <v>0</v>
      </c>
      <c r="E102" s="19"/>
      <c r="F102" s="19"/>
      <c r="G102" s="19"/>
      <c r="H102" s="19"/>
      <c r="I102" s="19"/>
      <c r="J102" s="19"/>
      <c r="K102" s="19"/>
      <c r="L102" s="19"/>
      <c r="M102" s="19"/>
      <c r="N102" s="19"/>
      <c r="O102" s="19"/>
      <c r="P102" s="19"/>
      <c r="Q102" s="17"/>
      <c r="R102" s="17"/>
      <c r="S102" s="17"/>
      <c r="T102" s="17"/>
      <c r="U102" s="17"/>
      <c r="V102" s="17">
        <v>240000</v>
      </c>
      <c r="W102" s="17"/>
      <c r="X102" s="17"/>
      <c r="Y102" s="17"/>
    </row>
    <row r="103" spans="1:25" x14ac:dyDescent="0.25">
      <c r="A103" s="88"/>
      <c r="B103" s="19"/>
      <c r="C103" s="19"/>
      <c r="D103" s="112">
        <f t="shared" si="6"/>
        <v>0</v>
      </c>
      <c r="E103" s="19"/>
      <c r="F103" s="19"/>
      <c r="G103" s="19"/>
      <c r="H103" s="19"/>
      <c r="I103" s="19"/>
      <c r="J103" s="19"/>
      <c r="K103" s="19"/>
      <c r="L103" s="19"/>
      <c r="M103" s="19"/>
      <c r="N103" s="19"/>
      <c r="O103" s="19"/>
      <c r="P103" s="19"/>
      <c r="Q103" s="17"/>
      <c r="R103" s="17"/>
      <c r="S103" s="17"/>
      <c r="T103" s="17"/>
      <c r="U103" s="17"/>
      <c r="V103" s="17"/>
      <c r="W103" s="17"/>
      <c r="X103" s="17"/>
      <c r="Y103" s="17"/>
    </row>
    <row r="104" spans="1:25" x14ac:dyDescent="0.25">
      <c r="A104" s="75" t="s">
        <v>882</v>
      </c>
      <c r="B104" s="19"/>
      <c r="C104" s="19"/>
      <c r="D104" s="112">
        <f>C104+B104</f>
        <v>0</v>
      </c>
      <c r="E104" s="19"/>
      <c r="F104" s="19"/>
      <c r="G104" s="19"/>
      <c r="H104" s="19"/>
      <c r="I104" s="19"/>
      <c r="J104" s="19"/>
      <c r="K104" s="19"/>
      <c r="L104" s="19"/>
      <c r="M104" s="19"/>
      <c r="N104" s="19"/>
      <c r="O104" s="19">
        <v>8080</v>
      </c>
      <c r="P104" s="19"/>
      <c r="Q104" s="17"/>
      <c r="R104" s="17"/>
      <c r="S104" s="17"/>
      <c r="T104" s="17">
        <v>60000</v>
      </c>
      <c r="U104" s="17">
        <v>200000</v>
      </c>
      <c r="V104" s="17">
        <v>300000</v>
      </c>
      <c r="W104" s="17"/>
      <c r="X104" s="17">
        <v>360000</v>
      </c>
      <c r="Y104" s="17">
        <v>200000</v>
      </c>
    </row>
    <row r="105" spans="1:25" x14ac:dyDescent="0.25">
      <c r="A105" s="88" t="s">
        <v>853</v>
      </c>
      <c r="B105" s="19"/>
      <c r="C105" s="19"/>
      <c r="D105" s="112">
        <f>C105+B105</f>
        <v>0</v>
      </c>
      <c r="E105" s="19"/>
      <c r="F105" s="19"/>
      <c r="G105" s="19"/>
      <c r="H105" s="19"/>
      <c r="I105" s="19"/>
      <c r="J105" s="19"/>
      <c r="K105" s="19"/>
      <c r="L105" s="19"/>
      <c r="M105" s="19"/>
      <c r="N105" s="19"/>
      <c r="O105" s="19">
        <v>15440</v>
      </c>
      <c r="P105" s="19"/>
      <c r="Q105" s="17">
        <v>20000</v>
      </c>
      <c r="R105" s="17"/>
      <c r="S105" s="17"/>
      <c r="T105" s="17">
        <v>50000</v>
      </c>
      <c r="U105" s="17"/>
      <c r="V105" s="17"/>
      <c r="W105" s="17"/>
      <c r="X105" s="17"/>
      <c r="Y105" s="17"/>
    </row>
    <row r="106" spans="1:25" x14ac:dyDescent="0.25">
      <c r="A106" s="75" t="s">
        <v>164</v>
      </c>
      <c r="B106" s="19"/>
      <c r="C106" s="19"/>
      <c r="D106" s="112">
        <f>C106+B106</f>
        <v>0</v>
      </c>
      <c r="E106" s="19"/>
      <c r="F106" s="19"/>
      <c r="G106" s="19"/>
      <c r="H106" s="19"/>
      <c r="I106" s="19"/>
      <c r="J106" s="19"/>
      <c r="K106" s="19"/>
      <c r="L106" s="19"/>
      <c r="M106" s="19"/>
      <c r="N106" s="19"/>
      <c r="O106" s="19"/>
      <c r="P106" s="19">
        <v>80000</v>
      </c>
      <c r="Q106" s="17">
        <f>80000+35000</f>
        <v>115000</v>
      </c>
      <c r="R106" s="17">
        <v>40000</v>
      </c>
      <c r="S106" s="17"/>
      <c r="T106" s="17">
        <v>100000</v>
      </c>
      <c r="U106" s="17">
        <v>100000</v>
      </c>
      <c r="V106" s="17"/>
      <c r="W106" s="17"/>
      <c r="X106" s="17"/>
      <c r="Y106" s="17">
        <v>200000</v>
      </c>
    </row>
    <row r="107" spans="1:25" x14ac:dyDescent="0.25">
      <c r="A107" s="88" t="s">
        <v>852</v>
      </c>
      <c r="B107" s="19"/>
      <c r="C107" s="19"/>
      <c r="D107" s="112">
        <f>C107+B107</f>
        <v>0</v>
      </c>
      <c r="E107" s="19"/>
      <c r="F107" s="19"/>
      <c r="G107" s="19"/>
      <c r="H107" s="19"/>
      <c r="I107" s="19"/>
      <c r="J107" s="19"/>
      <c r="K107" s="19"/>
      <c r="L107" s="19"/>
      <c r="M107" s="19"/>
      <c r="N107" s="19"/>
      <c r="O107" s="19"/>
      <c r="P107" s="19">
        <v>41000</v>
      </c>
      <c r="Q107" s="17"/>
      <c r="R107" s="17"/>
      <c r="S107" s="17"/>
      <c r="T107" s="17"/>
      <c r="U107" s="17"/>
      <c r="V107" s="17"/>
      <c r="W107" s="17"/>
      <c r="X107" s="17"/>
      <c r="Y107" s="17"/>
    </row>
    <row r="108" spans="1:25" x14ac:dyDescent="0.25">
      <c r="A108" s="88" t="s">
        <v>893</v>
      </c>
      <c r="B108" s="19"/>
      <c r="C108" s="19"/>
      <c r="D108" s="112">
        <f>C108+B108</f>
        <v>0</v>
      </c>
      <c r="E108" s="19"/>
      <c r="F108" s="19"/>
      <c r="G108" s="19"/>
      <c r="H108" s="19"/>
      <c r="I108" s="19"/>
      <c r="J108" s="19"/>
      <c r="K108" s="19"/>
      <c r="L108" s="19"/>
      <c r="M108" s="19"/>
      <c r="N108" s="19"/>
      <c r="O108" s="19">
        <v>12000</v>
      </c>
      <c r="P108" s="19">
        <v>96000</v>
      </c>
      <c r="Q108" s="17"/>
      <c r="R108" s="17"/>
      <c r="S108" s="17"/>
      <c r="T108" s="17"/>
      <c r="U108" s="17"/>
      <c r="V108" s="17"/>
      <c r="W108" s="17"/>
      <c r="X108" s="17"/>
      <c r="Y108" s="17"/>
    </row>
    <row r="109" spans="1:25" x14ac:dyDescent="0.25">
      <c r="A109" s="88"/>
      <c r="B109" s="19"/>
      <c r="C109" s="19"/>
      <c r="D109" s="112"/>
      <c r="E109" s="19"/>
      <c r="F109" s="19"/>
      <c r="G109" s="19"/>
      <c r="H109" s="19"/>
      <c r="I109" s="19"/>
      <c r="J109" s="19"/>
      <c r="K109" s="19"/>
      <c r="L109" s="19"/>
      <c r="M109" s="19"/>
      <c r="N109" s="19"/>
      <c r="O109" s="19"/>
      <c r="P109" s="19"/>
      <c r="Q109" s="17"/>
      <c r="R109" s="17"/>
      <c r="S109" s="17"/>
      <c r="T109" s="17"/>
      <c r="U109" s="17"/>
      <c r="V109" s="17"/>
      <c r="W109" s="17"/>
      <c r="X109" s="17"/>
      <c r="Y109" s="17"/>
    </row>
    <row r="110" spans="1:25" x14ac:dyDescent="0.25">
      <c r="A110" s="88" t="s">
        <v>136</v>
      </c>
      <c r="B110" s="17"/>
      <c r="C110" s="17"/>
      <c r="D110" s="112">
        <f t="shared" si="6"/>
        <v>0</v>
      </c>
      <c r="E110" s="17"/>
      <c r="F110" s="17"/>
      <c r="G110" s="17"/>
      <c r="H110" s="17"/>
      <c r="I110" s="17"/>
      <c r="J110" s="17"/>
      <c r="K110" s="17"/>
      <c r="L110" s="17"/>
      <c r="M110" s="17"/>
      <c r="N110" s="17"/>
      <c r="O110" s="17"/>
      <c r="P110" s="17"/>
      <c r="Q110" s="17"/>
      <c r="R110" s="17"/>
      <c r="S110" s="17"/>
      <c r="T110" s="17"/>
      <c r="U110" s="17"/>
      <c r="V110" s="17"/>
      <c r="W110" s="17"/>
      <c r="X110" s="17"/>
      <c r="Y110" s="17"/>
    </row>
    <row r="111" spans="1:25" x14ac:dyDescent="0.25">
      <c r="A111" s="88"/>
      <c r="B111" s="17"/>
      <c r="C111" s="17"/>
      <c r="D111" s="112"/>
      <c r="E111" s="17"/>
      <c r="F111" s="17"/>
      <c r="G111" s="17"/>
      <c r="H111" s="17"/>
      <c r="I111" s="17"/>
      <c r="J111" s="17"/>
      <c r="K111" s="17"/>
      <c r="L111" s="17"/>
      <c r="M111" s="17"/>
      <c r="N111" s="17"/>
      <c r="O111" s="17"/>
      <c r="P111" s="17"/>
      <c r="Q111" s="17"/>
      <c r="R111" s="17"/>
      <c r="S111" s="17"/>
      <c r="T111" s="17"/>
      <c r="U111" s="17"/>
      <c r="V111" s="17"/>
      <c r="W111" s="17"/>
      <c r="X111" s="17"/>
      <c r="Y111" s="17"/>
    </row>
    <row r="112" spans="1:25" x14ac:dyDescent="0.25">
      <c r="A112" s="75" t="s">
        <v>504</v>
      </c>
      <c r="B112" s="19">
        <v>46040</v>
      </c>
      <c r="C112" s="19"/>
      <c r="D112" s="112">
        <f t="shared" si="6"/>
        <v>46040</v>
      </c>
      <c r="E112" s="19">
        <v>84000</v>
      </c>
      <c r="F112" s="19">
        <v>85000</v>
      </c>
      <c r="G112" s="19">
        <v>100000</v>
      </c>
      <c r="H112" s="19">
        <v>100000</v>
      </c>
      <c r="I112" s="19"/>
      <c r="J112" s="19"/>
      <c r="K112" s="19"/>
      <c r="L112" s="19"/>
      <c r="M112" s="19"/>
      <c r="N112" s="19"/>
      <c r="O112" s="19">
        <v>81200</v>
      </c>
      <c r="P112" s="19">
        <v>6752</v>
      </c>
      <c r="Q112" s="17"/>
      <c r="R112" s="17"/>
      <c r="S112" s="17"/>
      <c r="T112" s="17">
        <v>350000</v>
      </c>
      <c r="U112" s="17"/>
      <c r="V112" s="17">
        <v>200000</v>
      </c>
      <c r="W112" s="17"/>
      <c r="X112" s="17">
        <v>400000</v>
      </c>
      <c r="Y112" s="17">
        <v>400000</v>
      </c>
    </row>
    <row r="113" spans="1:25" ht="30" x14ac:dyDescent="0.25">
      <c r="A113" s="88" t="s">
        <v>1047</v>
      </c>
      <c r="B113" s="19"/>
      <c r="C113" s="19"/>
      <c r="D113" s="112">
        <f t="shared" si="6"/>
        <v>0</v>
      </c>
      <c r="E113" s="19"/>
      <c r="F113" s="19"/>
      <c r="G113" s="19"/>
      <c r="H113" s="19"/>
      <c r="I113" s="19"/>
      <c r="J113" s="19"/>
      <c r="K113" s="19"/>
      <c r="L113" s="19"/>
      <c r="M113" s="19"/>
      <c r="N113" s="19"/>
      <c r="O113" s="19"/>
      <c r="P113" s="19"/>
      <c r="Q113" s="17"/>
      <c r="R113" s="17"/>
      <c r="S113" s="17"/>
      <c r="T113" s="17"/>
      <c r="U113" s="17"/>
      <c r="V113" s="17"/>
      <c r="W113" s="17"/>
      <c r="X113" s="17">
        <v>100000</v>
      </c>
      <c r="Y113" s="17"/>
    </row>
    <row r="114" spans="1:25" x14ac:dyDescent="0.25">
      <c r="A114" s="88" t="s">
        <v>854</v>
      </c>
      <c r="B114" s="19"/>
      <c r="C114" s="19"/>
      <c r="D114" s="112">
        <f t="shared" si="6"/>
        <v>0</v>
      </c>
      <c r="E114" s="19"/>
      <c r="F114" s="19"/>
      <c r="G114" s="19"/>
      <c r="H114" s="19"/>
      <c r="I114" s="19"/>
      <c r="J114" s="19"/>
      <c r="K114" s="19"/>
      <c r="L114" s="19"/>
      <c r="M114" s="19"/>
      <c r="N114" s="19"/>
      <c r="O114" s="19"/>
      <c r="P114" s="19"/>
      <c r="Q114" s="17"/>
      <c r="R114" s="17"/>
      <c r="S114" s="17"/>
      <c r="T114" s="17"/>
      <c r="U114" s="17"/>
      <c r="V114" s="17"/>
      <c r="W114" s="17">
        <f>5043140+2954940+7593560+4282030</f>
        <v>19873670</v>
      </c>
      <c r="X114" s="17"/>
      <c r="Y114" s="17"/>
    </row>
    <row r="115" spans="1:25" x14ac:dyDescent="0.25">
      <c r="A115" s="88"/>
      <c r="B115" s="19"/>
      <c r="C115" s="19"/>
      <c r="D115" s="112"/>
      <c r="E115" s="19"/>
      <c r="F115" s="19"/>
      <c r="G115" s="19"/>
      <c r="H115" s="19"/>
      <c r="I115" s="19"/>
      <c r="J115" s="19"/>
      <c r="K115" s="19"/>
      <c r="L115" s="19"/>
      <c r="M115" s="19"/>
      <c r="N115" s="19"/>
      <c r="O115" s="19"/>
      <c r="P115" s="19"/>
      <c r="Q115" s="17"/>
      <c r="R115" s="17"/>
      <c r="S115" s="17"/>
      <c r="T115" s="17"/>
      <c r="U115" s="17"/>
      <c r="V115" s="17"/>
      <c r="W115" s="17"/>
      <c r="X115" s="17"/>
      <c r="Y115" s="17"/>
    </row>
    <row r="116" spans="1:25" x14ac:dyDescent="0.25">
      <c r="A116" s="89" t="s">
        <v>137</v>
      </c>
      <c r="B116" s="30">
        <f>SUM(B67:B115)</f>
        <v>132520</v>
      </c>
      <c r="C116" s="30">
        <f>SUM(C67:C115)</f>
        <v>476820</v>
      </c>
      <c r="D116" s="126">
        <f t="shared" si="6"/>
        <v>609340</v>
      </c>
      <c r="E116" s="30">
        <f>SUM(E67:E115)</f>
        <v>922394</v>
      </c>
      <c r="F116" s="30">
        <f>SUM(F67:F115)</f>
        <v>1213846</v>
      </c>
      <c r="G116" s="30">
        <f>SUM(G67:G115)</f>
        <v>1671646</v>
      </c>
      <c r="H116" s="30">
        <f>SUM(H67:H115)</f>
        <v>1623471</v>
      </c>
      <c r="I116" s="30"/>
      <c r="J116" s="30"/>
      <c r="K116" s="30"/>
      <c r="L116" s="30"/>
      <c r="M116" s="30"/>
      <c r="N116" s="30"/>
      <c r="O116" s="30">
        <f t="shared" ref="O116:Y116" si="8">SUM(O67:O115)</f>
        <v>1712700</v>
      </c>
      <c r="P116" s="30">
        <f t="shared" si="8"/>
        <v>2567320</v>
      </c>
      <c r="Q116" s="28">
        <f t="shared" si="8"/>
        <v>1754856</v>
      </c>
      <c r="R116" s="28">
        <f t="shared" si="8"/>
        <v>2268460</v>
      </c>
      <c r="S116" s="28">
        <f t="shared" si="8"/>
        <v>0</v>
      </c>
      <c r="T116" s="28">
        <f t="shared" si="8"/>
        <v>5491000</v>
      </c>
      <c r="U116" s="28">
        <f t="shared" si="8"/>
        <v>11000000</v>
      </c>
      <c r="V116" s="28">
        <f t="shared" si="8"/>
        <v>13856000</v>
      </c>
      <c r="W116" s="28">
        <f t="shared" si="8"/>
        <v>19873670</v>
      </c>
      <c r="X116" s="28">
        <f t="shared" si="8"/>
        <v>17325000</v>
      </c>
      <c r="Y116" s="28">
        <f t="shared" si="8"/>
        <v>17426000</v>
      </c>
    </row>
    <row r="117" spans="1:25" x14ac:dyDescent="0.25">
      <c r="A117" s="88"/>
      <c r="B117" s="19"/>
      <c r="C117" s="19"/>
      <c r="D117" s="112"/>
      <c r="E117" s="19"/>
      <c r="F117" s="19"/>
      <c r="G117" s="19"/>
      <c r="H117" s="19"/>
      <c r="I117" s="19"/>
      <c r="J117" s="19"/>
      <c r="K117" s="19"/>
      <c r="L117" s="19"/>
      <c r="M117" s="19"/>
      <c r="N117" s="19"/>
      <c r="O117" s="19"/>
      <c r="P117" s="19"/>
      <c r="Q117" s="17"/>
      <c r="R117" s="17"/>
      <c r="S117" s="17"/>
      <c r="T117" s="17"/>
      <c r="U117" s="17"/>
      <c r="V117" s="17"/>
      <c r="W117" s="17"/>
      <c r="X117" s="17"/>
      <c r="Y117" s="17"/>
    </row>
    <row r="118" spans="1:25" x14ac:dyDescent="0.25">
      <c r="A118" s="89" t="s">
        <v>621</v>
      </c>
      <c r="B118" s="28">
        <f t="shared" ref="B118:H118" si="9">B116-B67</f>
        <v>132520</v>
      </c>
      <c r="C118" s="28">
        <f t="shared" si="9"/>
        <v>323620</v>
      </c>
      <c r="D118" s="125">
        <f t="shared" si="9"/>
        <v>456140</v>
      </c>
      <c r="E118" s="28">
        <f t="shared" si="9"/>
        <v>922394</v>
      </c>
      <c r="F118" s="28">
        <f t="shared" si="9"/>
        <v>1200395</v>
      </c>
      <c r="G118" s="28">
        <f t="shared" si="9"/>
        <v>1671646</v>
      </c>
      <c r="H118" s="28">
        <f t="shared" si="9"/>
        <v>1623471</v>
      </c>
      <c r="I118" s="28"/>
      <c r="J118" s="28"/>
      <c r="K118" s="28"/>
      <c r="L118" s="28"/>
      <c r="M118" s="28"/>
      <c r="N118" s="28"/>
      <c r="O118" s="28">
        <f t="shared" ref="O118:Y118" si="10">O116-O67</f>
        <v>1592700</v>
      </c>
      <c r="P118" s="28">
        <f t="shared" si="10"/>
        <v>2567320</v>
      </c>
      <c r="Q118" s="28">
        <f t="shared" si="10"/>
        <v>1754856</v>
      </c>
      <c r="R118" s="28">
        <f t="shared" si="10"/>
        <v>2268460</v>
      </c>
      <c r="S118" s="28">
        <f t="shared" si="10"/>
        <v>0</v>
      </c>
      <c r="T118" s="28">
        <f t="shared" si="10"/>
        <v>5491000</v>
      </c>
      <c r="U118" s="28">
        <f t="shared" si="10"/>
        <v>11000000</v>
      </c>
      <c r="V118" s="28">
        <f t="shared" si="10"/>
        <v>13856000</v>
      </c>
      <c r="W118" s="28">
        <f t="shared" si="10"/>
        <v>19873670</v>
      </c>
      <c r="X118" s="28">
        <f t="shared" si="10"/>
        <v>17325000</v>
      </c>
      <c r="Y118" s="28">
        <f t="shared" si="10"/>
        <v>17426000</v>
      </c>
    </row>
    <row r="119" spans="1:25" x14ac:dyDescent="0.25">
      <c r="A119" s="89"/>
      <c r="B119" s="17"/>
      <c r="C119" s="17"/>
      <c r="D119" s="113"/>
      <c r="E119" s="17"/>
      <c r="F119" s="17"/>
      <c r="G119" s="17"/>
      <c r="H119" s="17"/>
      <c r="I119" s="17"/>
      <c r="J119" s="17"/>
      <c r="K119" s="17"/>
      <c r="L119" s="17"/>
      <c r="M119" s="17"/>
      <c r="N119" s="17"/>
      <c r="O119" s="17"/>
      <c r="P119" s="17"/>
      <c r="Q119" s="17"/>
      <c r="R119" s="17"/>
      <c r="S119" s="17"/>
      <c r="T119" s="17"/>
      <c r="U119" s="17"/>
      <c r="V119" s="17"/>
      <c r="W119" s="17"/>
      <c r="X119" s="17"/>
      <c r="Y119" s="17"/>
    </row>
    <row r="120" spans="1:25" x14ac:dyDescent="0.25">
      <c r="A120" s="90" t="s">
        <v>622</v>
      </c>
      <c r="B120" s="17">
        <f t="shared" ref="B120:Y120" si="11">B56</f>
        <v>229000</v>
      </c>
      <c r="C120" s="17">
        <f t="shared" si="11"/>
        <v>380340</v>
      </c>
      <c r="D120" s="113">
        <f t="shared" si="11"/>
        <v>609340</v>
      </c>
      <c r="E120" s="17">
        <f t="shared" si="11"/>
        <v>827920</v>
      </c>
      <c r="F120" s="17">
        <f t="shared" si="11"/>
        <v>1155120</v>
      </c>
      <c r="G120" s="17">
        <f t="shared" si="11"/>
        <v>1612920</v>
      </c>
      <c r="H120" s="17">
        <f t="shared" si="11"/>
        <v>1610020</v>
      </c>
      <c r="I120" s="17">
        <f t="shared" si="11"/>
        <v>0</v>
      </c>
      <c r="J120" s="17">
        <f t="shared" si="11"/>
        <v>0</v>
      </c>
      <c r="K120" s="17">
        <f t="shared" si="11"/>
        <v>0</v>
      </c>
      <c r="L120" s="17">
        <f t="shared" si="11"/>
        <v>0</v>
      </c>
      <c r="M120" s="17">
        <f t="shared" si="11"/>
        <v>0</v>
      </c>
      <c r="N120" s="17">
        <f t="shared" si="11"/>
        <v>0</v>
      </c>
      <c r="O120" s="17">
        <f t="shared" si="11"/>
        <v>1473200</v>
      </c>
      <c r="P120" s="17">
        <f t="shared" si="11"/>
        <v>2447320</v>
      </c>
      <c r="Q120" s="17">
        <f t="shared" si="11"/>
        <v>2016800</v>
      </c>
      <c r="R120" s="17">
        <f t="shared" si="11"/>
        <v>2101440</v>
      </c>
      <c r="S120" s="17">
        <f t="shared" si="11"/>
        <v>0</v>
      </c>
      <c r="T120" s="17">
        <f t="shared" si="11"/>
        <v>5491000</v>
      </c>
      <c r="U120" s="17">
        <f t="shared" si="11"/>
        <v>11000000</v>
      </c>
      <c r="V120" s="17">
        <f t="shared" si="11"/>
        <v>13856000</v>
      </c>
      <c r="W120" s="17">
        <f t="shared" si="11"/>
        <v>19777650</v>
      </c>
      <c r="X120" s="17">
        <f t="shared" si="11"/>
        <v>17325000</v>
      </c>
      <c r="Y120" s="17">
        <f t="shared" si="11"/>
        <v>17426000</v>
      </c>
    </row>
    <row r="121" spans="1:25" x14ac:dyDescent="0.25">
      <c r="A121" s="89"/>
      <c r="B121" s="17"/>
      <c r="C121" s="17"/>
      <c r="D121" s="113"/>
      <c r="E121" s="17"/>
      <c r="F121" s="17"/>
      <c r="G121" s="17"/>
      <c r="H121" s="17"/>
      <c r="I121" s="17"/>
      <c r="J121" s="17"/>
      <c r="K121" s="17"/>
      <c r="L121" s="17"/>
      <c r="M121" s="17"/>
      <c r="N121" s="17"/>
      <c r="O121" s="17"/>
      <c r="P121" s="17"/>
      <c r="Q121" s="17"/>
      <c r="R121" s="17"/>
      <c r="S121" s="17"/>
      <c r="T121" s="17"/>
      <c r="U121" s="17"/>
      <c r="V121" s="17"/>
      <c r="W121" s="17"/>
      <c r="X121" s="17"/>
      <c r="Y121" s="17"/>
    </row>
    <row r="122" spans="1:25" x14ac:dyDescent="0.25">
      <c r="A122" s="89" t="s">
        <v>623</v>
      </c>
      <c r="B122" s="47">
        <f>B120-B118</f>
        <v>96480</v>
      </c>
      <c r="C122" s="47">
        <f>C120-C118</f>
        <v>56720</v>
      </c>
      <c r="D122" s="113">
        <f>D120-D118</f>
        <v>153200</v>
      </c>
      <c r="E122" s="47">
        <f t="shared" ref="E122:Y122" si="12">E120-E118</f>
        <v>-94474</v>
      </c>
      <c r="F122" s="47">
        <f t="shared" si="12"/>
        <v>-45275</v>
      </c>
      <c r="G122" s="47">
        <f t="shared" si="12"/>
        <v>-58726</v>
      </c>
      <c r="H122" s="47">
        <f t="shared" si="12"/>
        <v>-13451</v>
      </c>
      <c r="I122" s="47">
        <f t="shared" si="12"/>
        <v>0</v>
      </c>
      <c r="J122" s="47">
        <f t="shared" si="12"/>
        <v>0</v>
      </c>
      <c r="K122" s="47">
        <f t="shared" si="12"/>
        <v>0</v>
      </c>
      <c r="L122" s="47">
        <f t="shared" si="12"/>
        <v>0</v>
      </c>
      <c r="M122" s="47">
        <f t="shared" si="12"/>
        <v>0</v>
      </c>
      <c r="N122" s="47">
        <f t="shared" si="12"/>
        <v>0</v>
      </c>
      <c r="O122" s="47">
        <f t="shared" si="12"/>
        <v>-119500</v>
      </c>
      <c r="P122" s="47">
        <f t="shared" si="12"/>
        <v>-120000</v>
      </c>
      <c r="Q122" s="47">
        <f t="shared" si="12"/>
        <v>261944</v>
      </c>
      <c r="R122" s="47">
        <f t="shared" si="12"/>
        <v>-167020</v>
      </c>
      <c r="S122" s="47">
        <f t="shared" si="12"/>
        <v>0</v>
      </c>
      <c r="T122" s="47">
        <f t="shared" si="12"/>
        <v>0</v>
      </c>
      <c r="U122" s="47">
        <f t="shared" si="12"/>
        <v>0</v>
      </c>
      <c r="V122" s="47">
        <f t="shared" si="12"/>
        <v>0</v>
      </c>
      <c r="W122" s="47">
        <f t="shared" si="12"/>
        <v>-96020</v>
      </c>
      <c r="X122" s="47">
        <f t="shared" si="12"/>
        <v>0</v>
      </c>
      <c r="Y122" s="47">
        <f t="shared" si="12"/>
        <v>0</v>
      </c>
    </row>
    <row r="123" spans="1:25" x14ac:dyDescent="0.25">
      <c r="A123" s="88"/>
      <c r="B123" s="17"/>
      <c r="C123" s="17"/>
      <c r="D123" s="113"/>
      <c r="E123" s="17"/>
      <c r="F123" s="17"/>
      <c r="G123" s="17"/>
      <c r="H123" s="17"/>
      <c r="I123" s="17"/>
      <c r="J123" s="17"/>
      <c r="K123" s="17"/>
      <c r="L123" s="17"/>
      <c r="M123" s="17"/>
      <c r="N123" s="17"/>
      <c r="O123" s="17"/>
      <c r="P123" s="17"/>
      <c r="Q123" s="17"/>
      <c r="R123" s="17"/>
      <c r="S123" s="17"/>
      <c r="T123" s="17"/>
      <c r="U123" s="17"/>
      <c r="V123" s="17"/>
      <c r="W123" s="17"/>
      <c r="X123" s="17"/>
      <c r="Y123" s="17"/>
    </row>
    <row r="124" spans="1:25" x14ac:dyDescent="0.25">
      <c r="A124" s="88"/>
      <c r="B124" s="17"/>
      <c r="C124" s="17"/>
      <c r="D124" s="113"/>
      <c r="E124" s="17"/>
      <c r="F124" s="17"/>
      <c r="G124" s="17"/>
      <c r="H124" s="17"/>
      <c r="I124" s="17"/>
      <c r="J124" s="17"/>
      <c r="K124" s="17"/>
      <c r="L124" s="17"/>
      <c r="M124" s="17"/>
      <c r="N124" s="17"/>
      <c r="O124" s="17"/>
      <c r="P124" s="17"/>
      <c r="Q124" s="17"/>
      <c r="R124" s="17"/>
      <c r="S124" s="17"/>
      <c r="T124" s="17"/>
      <c r="U124" s="17"/>
      <c r="V124" s="17"/>
      <c r="W124" s="17"/>
      <c r="X124" s="17"/>
      <c r="Y124" s="17"/>
    </row>
    <row r="125" spans="1:25" x14ac:dyDescent="0.25">
      <c r="A125" s="89"/>
      <c r="B125" s="17"/>
      <c r="C125" s="17"/>
      <c r="D125" s="113"/>
      <c r="E125" s="17"/>
      <c r="F125" s="17"/>
      <c r="G125" s="17"/>
      <c r="H125" s="17"/>
      <c r="I125" s="17"/>
      <c r="J125" s="17"/>
      <c r="K125" s="17"/>
      <c r="L125" s="17"/>
      <c r="M125" s="17"/>
      <c r="N125" s="17"/>
      <c r="O125" s="17"/>
      <c r="P125" s="17"/>
      <c r="Q125" s="17"/>
      <c r="R125" s="17"/>
      <c r="S125" s="17"/>
      <c r="T125" s="17"/>
      <c r="U125" s="17"/>
      <c r="V125" s="17"/>
      <c r="W125" s="17"/>
      <c r="X125" s="17"/>
      <c r="Y125" s="17"/>
    </row>
    <row r="126" spans="1:25" x14ac:dyDescent="0.25">
      <c r="A126" s="82"/>
      <c r="B126" s="17"/>
      <c r="C126" s="17"/>
      <c r="D126" s="113"/>
      <c r="E126" s="17"/>
      <c r="F126" s="17"/>
      <c r="G126" s="17"/>
      <c r="H126" s="17"/>
      <c r="I126" s="17"/>
      <c r="J126" s="17"/>
      <c r="K126" s="17"/>
      <c r="L126" s="17"/>
      <c r="M126" s="17"/>
      <c r="N126" s="17"/>
      <c r="O126" s="17"/>
      <c r="P126" s="17"/>
      <c r="Q126" s="17"/>
      <c r="R126" s="17"/>
      <c r="S126" s="17"/>
      <c r="T126" s="17"/>
      <c r="U126" s="17"/>
      <c r="V126" s="17"/>
      <c r="W126" s="17"/>
      <c r="X126" s="17"/>
      <c r="Y126" s="17"/>
    </row>
    <row r="127" spans="1:25" x14ac:dyDescent="0.25">
      <c r="A127" s="88"/>
      <c r="B127" s="17"/>
      <c r="C127" s="17"/>
      <c r="D127" s="113"/>
      <c r="E127" s="17"/>
      <c r="F127" s="17"/>
      <c r="G127" s="17"/>
      <c r="H127" s="17"/>
      <c r="I127" s="17"/>
      <c r="J127" s="17"/>
      <c r="K127" s="17"/>
      <c r="L127" s="17"/>
      <c r="M127" s="17"/>
      <c r="N127" s="17"/>
      <c r="O127" s="17"/>
      <c r="P127" s="17"/>
      <c r="Q127" s="17"/>
      <c r="R127" s="17"/>
      <c r="S127" s="17"/>
      <c r="T127" s="17"/>
      <c r="U127" s="17"/>
      <c r="V127" s="17"/>
      <c r="W127" s="17"/>
      <c r="X127" s="17"/>
      <c r="Y127" s="17"/>
    </row>
    <row r="128" spans="1:25" x14ac:dyDescent="0.25">
      <c r="A128" s="88"/>
      <c r="B128" s="17"/>
      <c r="C128" s="17"/>
      <c r="D128" s="113"/>
      <c r="E128" s="17"/>
      <c r="F128" s="17"/>
      <c r="G128" s="17"/>
      <c r="H128" s="17"/>
      <c r="I128" s="17"/>
      <c r="J128" s="17"/>
      <c r="K128" s="17"/>
      <c r="L128" s="17"/>
      <c r="M128" s="17"/>
      <c r="N128" s="17"/>
      <c r="O128" s="17"/>
      <c r="P128" s="17"/>
      <c r="Q128" s="17"/>
      <c r="R128" s="17"/>
      <c r="S128" s="17"/>
      <c r="T128" s="17"/>
      <c r="U128" s="17"/>
      <c r="V128" s="17"/>
      <c r="W128" s="17"/>
      <c r="X128" s="17"/>
      <c r="Y128" s="17"/>
    </row>
    <row r="129" spans="1:25" x14ac:dyDescent="0.25">
      <c r="A129" s="88"/>
      <c r="B129" s="17"/>
      <c r="C129" s="17"/>
      <c r="D129" s="113"/>
      <c r="E129" s="17"/>
      <c r="F129" s="17"/>
      <c r="G129" s="17"/>
      <c r="H129" s="17"/>
      <c r="I129" s="17"/>
      <c r="J129" s="17"/>
      <c r="K129" s="17"/>
      <c r="L129" s="17"/>
      <c r="M129" s="17"/>
      <c r="N129" s="17"/>
      <c r="O129" s="17"/>
      <c r="P129" s="17"/>
      <c r="Q129" s="17"/>
      <c r="R129" s="17"/>
      <c r="S129" s="17"/>
      <c r="T129" s="17"/>
      <c r="U129" s="17"/>
      <c r="V129" s="17"/>
      <c r="W129" s="17"/>
      <c r="X129" s="17"/>
      <c r="Y129" s="17"/>
    </row>
    <row r="130" spans="1:25" x14ac:dyDescent="0.25">
      <c r="A130" s="88"/>
      <c r="B130" s="17"/>
      <c r="C130" s="17"/>
      <c r="D130" s="113"/>
      <c r="E130" s="17"/>
      <c r="F130" s="17"/>
      <c r="G130" s="17"/>
      <c r="H130" s="17"/>
      <c r="I130" s="17"/>
      <c r="J130" s="17"/>
      <c r="K130" s="17"/>
      <c r="L130" s="17"/>
      <c r="M130" s="17"/>
      <c r="N130" s="17"/>
      <c r="O130" s="17"/>
      <c r="P130" s="17"/>
      <c r="Q130" s="17"/>
      <c r="R130" s="17"/>
      <c r="S130" s="17"/>
      <c r="T130" s="17"/>
      <c r="U130" s="17"/>
      <c r="V130" s="17"/>
      <c r="W130" s="17"/>
      <c r="X130" s="17"/>
      <c r="Y130" s="17"/>
    </row>
    <row r="131" spans="1:25" x14ac:dyDescent="0.25">
      <c r="A131" s="88"/>
      <c r="B131" s="17"/>
      <c r="C131" s="17"/>
      <c r="D131" s="113"/>
      <c r="E131" s="17"/>
      <c r="F131" s="17"/>
      <c r="G131" s="17"/>
      <c r="H131" s="17"/>
      <c r="I131" s="17"/>
      <c r="J131" s="17"/>
      <c r="K131" s="17"/>
      <c r="L131" s="17"/>
      <c r="M131" s="17"/>
      <c r="N131" s="17"/>
      <c r="O131" s="17"/>
      <c r="P131" s="17"/>
      <c r="Q131" s="17"/>
      <c r="R131" s="17"/>
      <c r="S131" s="17"/>
      <c r="T131" s="17"/>
      <c r="U131" s="17"/>
      <c r="V131" s="17"/>
      <c r="W131" s="17"/>
      <c r="X131" s="17"/>
      <c r="Y131" s="17"/>
    </row>
    <row r="132" spans="1:25" x14ac:dyDescent="0.25">
      <c r="A132" s="88"/>
      <c r="B132" s="17"/>
      <c r="C132" s="17"/>
      <c r="D132" s="113"/>
      <c r="E132" s="17"/>
      <c r="F132" s="17"/>
      <c r="G132" s="17"/>
      <c r="H132" s="17"/>
      <c r="I132" s="17"/>
      <c r="J132" s="17"/>
      <c r="K132" s="17"/>
      <c r="L132" s="17"/>
      <c r="M132" s="17"/>
      <c r="N132" s="17"/>
      <c r="O132" s="17"/>
      <c r="P132" s="17"/>
      <c r="Q132" s="17"/>
      <c r="R132" s="17"/>
      <c r="S132" s="17"/>
      <c r="T132" s="17"/>
      <c r="U132" s="17"/>
      <c r="V132" s="17"/>
      <c r="W132" s="17"/>
      <c r="X132" s="17"/>
      <c r="Y132" s="17"/>
    </row>
    <row r="133" spans="1:25" x14ac:dyDescent="0.25">
      <c r="A133" s="88"/>
      <c r="B133" s="17"/>
      <c r="C133" s="17"/>
      <c r="D133" s="113"/>
      <c r="E133" s="17"/>
      <c r="F133" s="17"/>
      <c r="G133" s="17"/>
      <c r="H133" s="17"/>
      <c r="I133" s="17"/>
      <c r="J133" s="17"/>
      <c r="K133" s="17"/>
      <c r="L133" s="17"/>
      <c r="M133" s="17"/>
      <c r="N133" s="17"/>
      <c r="O133" s="17"/>
      <c r="P133" s="17"/>
      <c r="Q133" s="17"/>
      <c r="R133" s="17"/>
      <c r="S133" s="17"/>
      <c r="T133" s="17"/>
      <c r="U133" s="17"/>
      <c r="V133" s="17"/>
      <c r="W133" s="17"/>
      <c r="X133" s="17"/>
      <c r="Y133" s="17"/>
    </row>
    <row r="134" spans="1:25" x14ac:dyDescent="0.25">
      <c r="A134" s="88"/>
      <c r="B134" s="17"/>
      <c r="C134" s="17"/>
      <c r="D134" s="113"/>
      <c r="E134" s="17"/>
      <c r="F134" s="17"/>
      <c r="G134" s="17"/>
      <c r="H134" s="17"/>
      <c r="I134" s="17"/>
      <c r="J134" s="17"/>
      <c r="K134" s="17"/>
      <c r="L134" s="17"/>
      <c r="M134" s="17"/>
      <c r="N134" s="17"/>
      <c r="O134" s="17"/>
      <c r="P134" s="17"/>
      <c r="Q134" s="17"/>
      <c r="R134" s="17"/>
      <c r="S134" s="17"/>
      <c r="T134" s="17"/>
      <c r="U134" s="17"/>
      <c r="V134" s="17"/>
      <c r="W134" s="17"/>
      <c r="X134" s="17"/>
      <c r="Y134" s="17"/>
    </row>
    <row r="135" spans="1:25" x14ac:dyDescent="0.25">
      <c r="A135" s="88"/>
      <c r="B135" s="17"/>
      <c r="C135" s="17"/>
      <c r="D135" s="113"/>
      <c r="E135" s="17"/>
      <c r="F135" s="17"/>
      <c r="G135" s="17"/>
      <c r="H135" s="17"/>
      <c r="I135" s="17"/>
      <c r="J135" s="17"/>
      <c r="K135" s="17"/>
      <c r="L135" s="17"/>
      <c r="M135" s="17"/>
      <c r="N135" s="17"/>
      <c r="O135" s="17"/>
      <c r="P135" s="17"/>
      <c r="Q135" s="17"/>
      <c r="R135" s="17"/>
      <c r="S135" s="17"/>
      <c r="T135" s="17"/>
      <c r="U135" s="17"/>
      <c r="V135" s="17"/>
      <c r="W135" s="17"/>
      <c r="X135" s="17"/>
      <c r="Y135" s="17"/>
    </row>
    <row r="136" spans="1:25" x14ac:dyDescent="0.25">
      <c r="A136" s="88"/>
      <c r="B136" s="17"/>
      <c r="C136" s="17"/>
      <c r="D136" s="113"/>
      <c r="E136" s="17"/>
      <c r="F136" s="17"/>
      <c r="G136" s="17"/>
      <c r="H136" s="17"/>
      <c r="I136" s="17"/>
      <c r="J136" s="17"/>
      <c r="K136" s="17"/>
      <c r="L136" s="17"/>
      <c r="M136" s="17"/>
      <c r="N136" s="17"/>
      <c r="O136" s="17"/>
      <c r="P136" s="17"/>
      <c r="Q136" s="17"/>
      <c r="R136" s="17"/>
      <c r="S136" s="17"/>
      <c r="T136" s="17"/>
      <c r="U136" s="17"/>
      <c r="V136" s="17"/>
      <c r="W136" s="17"/>
      <c r="X136" s="17"/>
      <c r="Y136" s="17"/>
    </row>
    <row r="137" spans="1:25" x14ac:dyDescent="0.25">
      <c r="A137" s="88"/>
      <c r="B137" s="17"/>
      <c r="C137" s="17"/>
      <c r="D137" s="113"/>
      <c r="E137" s="17"/>
      <c r="F137" s="17"/>
      <c r="G137" s="17"/>
      <c r="H137" s="17"/>
      <c r="I137" s="17"/>
      <c r="J137" s="17"/>
      <c r="K137" s="17"/>
      <c r="L137" s="17"/>
      <c r="M137" s="17"/>
      <c r="N137" s="17"/>
      <c r="O137" s="17"/>
      <c r="P137" s="17"/>
      <c r="Q137" s="17"/>
      <c r="R137" s="17"/>
      <c r="S137" s="17"/>
      <c r="T137" s="17"/>
      <c r="U137" s="17"/>
      <c r="V137" s="17"/>
      <c r="W137" s="17"/>
      <c r="X137" s="17"/>
      <c r="Y137" s="17"/>
    </row>
    <row r="138" spans="1:25" x14ac:dyDescent="0.25">
      <c r="A138" s="88"/>
      <c r="B138" s="17"/>
      <c r="C138" s="17"/>
      <c r="D138" s="113"/>
      <c r="E138" s="17"/>
      <c r="F138" s="17"/>
      <c r="G138" s="17"/>
      <c r="H138" s="17"/>
      <c r="I138" s="17"/>
      <c r="J138" s="17"/>
      <c r="K138" s="17"/>
      <c r="L138" s="17"/>
      <c r="M138" s="17"/>
      <c r="N138" s="17"/>
      <c r="O138" s="17"/>
      <c r="P138" s="17"/>
      <c r="Q138" s="17"/>
      <c r="R138" s="17"/>
      <c r="S138" s="17"/>
      <c r="T138" s="17"/>
      <c r="U138" s="17"/>
      <c r="V138" s="17"/>
      <c r="W138" s="17"/>
      <c r="X138" s="17"/>
      <c r="Y138" s="17"/>
    </row>
    <row r="139" spans="1:25" x14ac:dyDescent="0.25">
      <c r="A139" s="89"/>
      <c r="B139" s="28"/>
      <c r="C139" s="28"/>
      <c r="D139" s="125"/>
      <c r="E139" s="28"/>
      <c r="F139" s="28"/>
      <c r="G139" s="28"/>
      <c r="H139" s="28"/>
      <c r="I139" s="28"/>
      <c r="J139" s="28"/>
      <c r="K139" s="28"/>
      <c r="L139" s="28"/>
      <c r="M139" s="28"/>
      <c r="N139" s="28"/>
      <c r="O139" s="28"/>
      <c r="P139" s="28"/>
      <c r="Q139" s="28"/>
      <c r="R139" s="28"/>
      <c r="S139" s="28"/>
      <c r="T139" s="28"/>
      <c r="U139" s="28"/>
      <c r="V139" s="28"/>
      <c r="W139" s="28"/>
      <c r="X139" s="28"/>
      <c r="Y139" s="28"/>
    </row>
    <row r="140" spans="1:25" x14ac:dyDescent="0.25">
      <c r="A140" s="88"/>
      <c r="B140" s="17"/>
      <c r="C140" s="17"/>
      <c r="D140" s="113"/>
      <c r="E140" s="17"/>
      <c r="F140" s="17"/>
      <c r="G140" s="17"/>
      <c r="H140" s="17"/>
      <c r="I140" s="17"/>
      <c r="J140" s="17"/>
      <c r="K140" s="17"/>
      <c r="L140" s="17"/>
      <c r="M140" s="17"/>
      <c r="N140" s="17"/>
      <c r="O140" s="17"/>
      <c r="P140" s="17"/>
      <c r="Q140" s="17"/>
      <c r="R140" s="17"/>
      <c r="S140" s="17"/>
      <c r="T140" s="17"/>
      <c r="U140" s="17"/>
      <c r="V140" s="17"/>
      <c r="W140" s="17"/>
      <c r="X140" s="17"/>
      <c r="Y140" s="17"/>
    </row>
    <row r="141" spans="1:25" x14ac:dyDescent="0.25">
      <c r="A141" s="88"/>
      <c r="B141" s="17"/>
      <c r="C141" s="17"/>
      <c r="D141" s="113"/>
      <c r="E141" s="17"/>
      <c r="F141" s="17"/>
      <c r="G141" s="17"/>
      <c r="H141" s="17"/>
      <c r="I141" s="17"/>
      <c r="J141" s="17"/>
      <c r="K141" s="17"/>
      <c r="L141" s="17"/>
      <c r="M141" s="17"/>
      <c r="N141" s="17"/>
      <c r="O141" s="17"/>
      <c r="P141" s="17"/>
      <c r="Q141" s="17"/>
      <c r="R141" s="17"/>
      <c r="S141" s="17"/>
      <c r="T141" s="17"/>
      <c r="U141" s="17"/>
      <c r="V141" s="17"/>
      <c r="W141" s="17"/>
      <c r="X141" s="17"/>
      <c r="Y141" s="17"/>
    </row>
    <row r="142" spans="1:25" x14ac:dyDescent="0.25">
      <c r="A142" s="149"/>
      <c r="B142" s="17"/>
      <c r="C142" s="17"/>
      <c r="D142" s="113"/>
      <c r="E142" s="17"/>
      <c r="F142" s="17"/>
      <c r="G142" s="17"/>
      <c r="H142" s="17"/>
      <c r="I142" s="17"/>
      <c r="J142" s="17"/>
      <c r="K142" s="17"/>
      <c r="L142" s="17"/>
      <c r="M142" s="17"/>
      <c r="N142" s="17"/>
      <c r="O142" s="17"/>
      <c r="P142" s="17"/>
      <c r="Q142" s="17"/>
      <c r="R142" s="17"/>
      <c r="S142" s="17"/>
      <c r="T142" s="17"/>
      <c r="U142" s="17"/>
      <c r="V142" s="17"/>
      <c r="W142" s="17"/>
      <c r="X142" s="17"/>
      <c r="Y142" s="17"/>
    </row>
    <row r="143" spans="1:25" s="17" customFormat="1" x14ac:dyDescent="0.25">
      <c r="A143" s="88"/>
      <c r="B143" s="19"/>
      <c r="C143" s="19"/>
      <c r="D143" s="112"/>
      <c r="E143" s="19"/>
      <c r="F143" s="19"/>
      <c r="G143" s="19"/>
      <c r="H143" s="19"/>
      <c r="I143" s="19"/>
      <c r="J143" s="19"/>
      <c r="K143" s="19"/>
      <c r="L143" s="19"/>
      <c r="M143" s="19"/>
      <c r="N143" s="19"/>
      <c r="O143" s="19"/>
      <c r="P143" s="19"/>
    </row>
    <row r="144" spans="1:25" x14ac:dyDescent="0.25">
      <c r="A144" s="88"/>
      <c r="B144" s="17"/>
      <c r="C144" s="17"/>
      <c r="D144" s="113"/>
      <c r="E144" s="17"/>
      <c r="F144" s="17"/>
      <c r="G144" s="17"/>
      <c r="H144" s="17"/>
      <c r="I144" s="17"/>
      <c r="J144" s="17"/>
      <c r="K144" s="17"/>
      <c r="L144" s="17"/>
      <c r="M144" s="17"/>
      <c r="N144" s="17"/>
      <c r="O144" s="17"/>
      <c r="P144" s="17"/>
      <c r="Q144" s="17"/>
      <c r="R144" s="17"/>
      <c r="S144" s="17"/>
      <c r="T144" s="17"/>
      <c r="U144" s="17"/>
      <c r="V144" s="17"/>
      <c r="W144" s="17"/>
      <c r="X144" s="17"/>
      <c r="Y144" s="17"/>
    </row>
    <row r="145" spans="1:25" x14ac:dyDescent="0.25">
      <c r="A145" s="88"/>
      <c r="B145" s="17"/>
      <c r="C145" s="17"/>
      <c r="D145" s="113"/>
      <c r="E145" s="17"/>
      <c r="F145" s="17"/>
      <c r="G145" s="17"/>
      <c r="H145" s="17"/>
      <c r="I145" s="17"/>
      <c r="J145" s="17"/>
      <c r="K145" s="17"/>
      <c r="L145" s="17"/>
      <c r="M145" s="17"/>
      <c r="N145" s="17"/>
      <c r="O145" s="17"/>
      <c r="P145" s="17"/>
      <c r="Q145" s="17"/>
      <c r="R145" s="17"/>
      <c r="S145" s="17"/>
      <c r="T145" s="17"/>
      <c r="U145" s="17"/>
      <c r="V145" s="17"/>
      <c r="W145" s="17"/>
      <c r="X145" s="17"/>
      <c r="Y145" s="17"/>
    </row>
    <row r="146" spans="1:25" x14ac:dyDescent="0.25">
      <c r="A146" s="88"/>
      <c r="B146" s="17"/>
      <c r="C146" s="17"/>
      <c r="D146" s="113"/>
      <c r="E146" s="17"/>
      <c r="F146" s="17"/>
      <c r="G146" s="17"/>
      <c r="H146" s="17"/>
      <c r="I146" s="17"/>
      <c r="J146" s="17"/>
      <c r="K146" s="17"/>
      <c r="L146" s="17"/>
      <c r="M146" s="17"/>
      <c r="N146" s="17"/>
      <c r="O146" s="17"/>
      <c r="P146" s="17"/>
      <c r="Q146" s="17"/>
      <c r="R146" s="17"/>
      <c r="S146" s="17"/>
      <c r="T146" s="17"/>
      <c r="U146" s="17"/>
      <c r="V146" s="17"/>
      <c r="W146" s="17"/>
      <c r="X146" s="17"/>
      <c r="Y146" s="17"/>
    </row>
    <row r="147" spans="1:25" x14ac:dyDescent="0.25">
      <c r="A147" s="88"/>
      <c r="B147" s="17"/>
      <c r="C147" s="17"/>
      <c r="D147" s="113"/>
      <c r="E147" s="17"/>
      <c r="F147" s="17"/>
      <c r="G147" s="17"/>
      <c r="H147" s="17"/>
      <c r="I147" s="17"/>
      <c r="J147" s="17"/>
      <c r="K147" s="17"/>
      <c r="L147" s="17"/>
      <c r="M147" s="17"/>
      <c r="N147" s="17"/>
      <c r="O147" s="17"/>
      <c r="P147" s="17"/>
      <c r="Q147" s="17"/>
      <c r="R147" s="17"/>
      <c r="S147" s="17"/>
      <c r="T147" s="17"/>
      <c r="U147" s="17"/>
      <c r="V147" s="17"/>
      <c r="W147" s="17"/>
      <c r="X147" s="17"/>
      <c r="Y147" s="17"/>
    </row>
    <row r="148" spans="1:25" x14ac:dyDescent="0.25">
      <c r="A148" s="88"/>
      <c r="B148" s="17"/>
      <c r="C148" s="17"/>
      <c r="D148" s="113"/>
      <c r="E148" s="17"/>
      <c r="F148" s="17"/>
      <c r="G148" s="17"/>
      <c r="H148" s="17"/>
      <c r="I148" s="17"/>
      <c r="J148" s="17"/>
      <c r="K148" s="17"/>
      <c r="L148" s="17"/>
      <c r="M148" s="17"/>
      <c r="N148" s="17"/>
      <c r="O148" s="17"/>
      <c r="P148" s="17"/>
      <c r="Q148" s="17"/>
      <c r="R148" s="17"/>
      <c r="S148" s="17"/>
      <c r="T148" s="17"/>
      <c r="U148" s="17"/>
      <c r="V148" s="17"/>
      <c r="W148" s="17"/>
      <c r="X148" s="17"/>
      <c r="Y148" s="17"/>
    </row>
  </sheetData>
  <sortState ref="A104:Y108">
    <sortCondition ref="A104:A108"/>
  </sortState>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Vital Information</vt:lpstr>
      <vt:lpstr>Search terms</vt:lpstr>
      <vt:lpstr>Amparo 1858-1891</vt:lpstr>
      <vt:lpstr>Araraquara 1836-1889</vt:lpstr>
      <vt:lpstr>Campinas 1835-1888</vt:lpstr>
      <vt:lpstr>Franca 1835-1890</vt:lpstr>
      <vt:lpstr>Ribeirao Preto 1879-1886</vt:lpstr>
      <vt:lpstr>Rio Claro 1846-1890</vt:lpstr>
      <vt:lpstr>Sao Carlos 1865-1887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2018-05-21T17:43:27Z</dcterms:modified>
</cp:coreProperties>
</file>